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84" windowHeight="9216" activeTab="2"/>
  </bookViews>
  <sheets>
    <sheet name="traffics" sheetId="1" r:id="rId1"/>
    <sheet name="Actual tariffs and rates" sheetId="2" r:id="rId2"/>
    <sheet name="Costs, assets and liabalities" sheetId="3" r:id="rId3"/>
    <sheet name="indirect costs and Cost of capi" sheetId="4" r:id="rId4"/>
    <sheet name="TESTS" sheetId="5" r:id="rId5"/>
  </sheets>
  <definedNames/>
  <calcPr fullCalcOnLoad="1"/>
</workbook>
</file>

<file path=xl/comments5.xml><?xml version="1.0" encoding="utf-8"?>
<comments xmlns="http://schemas.openxmlformats.org/spreadsheetml/2006/main">
  <authors>
    <author>P-G Tour?</author>
  </authors>
  <commentList>
    <comment ref="J37" authorId="0">
      <text>
        <r>
          <rPr>
            <b/>
            <sz val="8"/>
            <rFont val="Tahoma"/>
            <family val="0"/>
          </rPr>
          <t>P-G Touré:</t>
        </r>
        <r>
          <rPr>
            <sz val="8"/>
            <rFont val="Tahoma"/>
            <family val="0"/>
          </rPr>
          <t xml:space="preserve">
This is a first approximation as the indirect costs have not been revised to adapt this new situation</t>
        </r>
      </text>
    </comment>
  </commentList>
</comments>
</file>

<file path=xl/sharedStrings.xml><?xml version="1.0" encoding="utf-8"?>
<sst xmlns="http://schemas.openxmlformats.org/spreadsheetml/2006/main" count="333" uniqueCount="252">
  <si>
    <t>intToGSMNET</t>
  </si>
  <si>
    <t>GSMNETToint</t>
  </si>
  <si>
    <t>IntToRagateViaTelcor</t>
  </si>
  <si>
    <t>IntToTelcorViaGSMNET</t>
  </si>
  <si>
    <t>RagatelToGSMNETViaTelcor</t>
  </si>
  <si>
    <t>HondurasToGSMNETViaTelcor</t>
  </si>
  <si>
    <t>TelcorToGSMNET</t>
  </si>
  <si>
    <t>IntToGSMNETViaTelcor</t>
  </si>
  <si>
    <t>GSMNETToTelcor</t>
  </si>
  <si>
    <t>GSMNETToHondurasViaTelcor</t>
  </si>
  <si>
    <t>GSMNETToRagatelViaTelcor</t>
  </si>
  <si>
    <t>GSMNETTointViaTelcor</t>
  </si>
  <si>
    <t>TelcorToIntViaGSMNET</t>
  </si>
  <si>
    <t>GSMNETToGSMNET</t>
  </si>
  <si>
    <t>urban</t>
  </si>
  <si>
    <t>international out</t>
  </si>
  <si>
    <t>international iN</t>
  </si>
  <si>
    <t>national out</t>
  </si>
  <si>
    <t>national in single</t>
  </si>
  <si>
    <t>national-&gt;international</t>
  </si>
  <si>
    <t>international -&gt;National</t>
  </si>
  <si>
    <t>Volume in minutes</t>
  </si>
  <si>
    <t>MAPPING THE REAL TRAFFIC TO THE COSITU SERVICES DEFINITIONS</t>
  </si>
  <si>
    <t>Settlements and Interconnection</t>
  </si>
  <si>
    <t>terminate in fixed network</t>
  </si>
  <si>
    <t>terminate in mobile network</t>
  </si>
  <si>
    <t>GsmNet Accounting Rates (sdr)</t>
  </si>
  <si>
    <t>%of traffic</t>
  </si>
  <si>
    <t>GsmNet settlement out</t>
  </si>
  <si>
    <t>GsmNet settlement in</t>
  </si>
  <si>
    <t>average exchange rate:</t>
  </si>
  <si>
    <t>NIO</t>
  </si>
  <si>
    <t>nio</t>
  </si>
  <si>
    <t>usd-&gt;nio</t>
  </si>
  <si>
    <t>sdr-&gt;usd</t>
  </si>
  <si>
    <t>1US$=</t>
  </si>
  <si>
    <t>1SDR=</t>
  </si>
  <si>
    <t>Setlements for COSITU Services</t>
  </si>
  <si>
    <t>VAT</t>
  </si>
  <si>
    <t>Repartition of traffic Prepaid - postpaid</t>
  </si>
  <si>
    <t>Retail Prices</t>
  </si>
  <si>
    <t>P R E P A I D E D</t>
  </si>
  <si>
    <t>P O S T P A I D</t>
  </si>
  <si>
    <t>Traffic</t>
  </si>
  <si>
    <t>Average price</t>
  </si>
  <si>
    <t>Endogenous</t>
  </si>
  <si>
    <t>Repartition of customers</t>
  </si>
  <si>
    <t>without VAT</t>
  </si>
  <si>
    <t>PEAK</t>
  </si>
  <si>
    <t>DISCOUNT</t>
  </si>
  <si>
    <t>Services</t>
  </si>
  <si>
    <t>Installation</t>
  </si>
  <si>
    <t>Monthly Subscription Fee</t>
  </si>
  <si>
    <t>nil</t>
  </si>
  <si>
    <t>with</t>
  </si>
  <si>
    <t>without</t>
  </si>
  <si>
    <t>GSMNETToTelecor</t>
  </si>
  <si>
    <t>GSMNETToRagtel</t>
  </si>
  <si>
    <t>GSMNETToCostaRica&amp;Honduras</t>
  </si>
  <si>
    <t>GSMNETToOtherCountries</t>
  </si>
  <si>
    <t>Selling &amp; distribution</t>
  </si>
  <si>
    <t>Administrative expenses</t>
  </si>
  <si>
    <t xml:space="preserve">Depreciation </t>
  </si>
  <si>
    <t>Operating rentals</t>
  </si>
  <si>
    <t>Interconnect costs</t>
  </si>
  <si>
    <t>Bad debts provisions</t>
  </si>
  <si>
    <t>International payments</t>
  </si>
  <si>
    <t>Staff Cost</t>
  </si>
  <si>
    <t xml:space="preserve">Interest income </t>
  </si>
  <si>
    <t>Net foreign exchange (losses/gain)</t>
  </si>
  <si>
    <t>Interest payable</t>
  </si>
  <si>
    <t>Other financing costs.</t>
  </si>
  <si>
    <t>Purchase and variation of inventories</t>
  </si>
  <si>
    <t>Transportations</t>
  </si>
  <si>
    <t>External services</t>
  </si>
  <si>
    <t>taxes and levies</t>
  </si>
  <si>
    <t>Staff cost</t>
  </si>
  <si>
    <t>Other costs</t>
  </si>
  <si>
    <t>Financial charges</t>
  </si>
  <si>
    <t>Depreciation</t>
  </si>
  <si>
    <t>Provision</t>
  </si>
  <si>
    <t>Exogenous costs</t>
  </si>
  <si>
    <t>TOTAL CHARGES</t>
  </si>
  <si>
    <t>TOTAL ENDOGENOUS CHARGES</t>
  </si>
  <si>
    <t>Network</t>
  </si>
  <si>
    <t xml:space="preserve">Land &amp; </t>
  </si>
  <si>
    <t>Motor</t>
  </si>
  <si>
    <t>Total tangible</t>
  </si>
  <si>
    <t>Infrastructure</t>
  </si>
  <si>
    <t>Building</t>
  </si>
  <si>
    <t xml:space="preserve">vehicles &amp; </t>
  </si>
  <si>
    <t>Equipments</t>
  </si>
  <si>
    <t>Additions</t>
  </si>
  <si>
    <t>Charge for year</t>
  </si>
  <si>
    <t>The network functions include:</t>
  </si>
  <si>
    <t>Depreciation time</t>
  </si>
  <si>
    <t>Transmission</t>
  </si>
  <si>
    <t>-National</t>
  </si>
  <si>
    <t>-International</t>
  </si>
  <si>
    <t>Switching</t>
  </si>
  <si>
    <t xml:space="preserve">  </t>
  </si>
  <si>
    <t xml:space="preserve"> -National</t>
  </si>
  <si>
    <t xml:space="preserve"> -International</t>
  </si>
  <si>
    <t>Access Network</t>
  </si>
  <si>
    <t>Others</t>
  </si>
  <si>
    <t>Cost valuation (NIO’s)</t>
  </si>
  <si>
    <t>Intangible</t>
  </si>
  <si>
    <t>computer system</t>
  </si>
  <si>
    <t>depreciation</t>
  </si>
  <si>
    <t>years</t>
  </si>
  <si>
    <t>computer centre staff cost</t>
  </si>
  <si>
    <t>of the total staff costs</t>
  </si>
  <si>
    <t>percentage of computer time dedicated to billing</t>
  </si>
  <si>
    <t>of the total</t>
  </si>
  <si>
    <t>other billing expenses</t>
  </si>
  <si>
    <t>relations with operators</t>
  </si>
  <si>
    <t xml:space="preserve">   national</t>
  </si>
  <si>
    <t xml:space="preserve">   international</t>
  </si>
  <si>
    <t>customer care system costs</t>
  </si>
  <si>
    <t xml:space="preserve">   percentage of computer time dedicated to customer care</t>
  </si>
  <si>
    <t xml:space="preserve">   other customer care costs</t>
  </si>
  <si>
    <t>annual cost of the computer centre</t>
  </si>
  <si>
    <t>relations with national operators</t>
  </si>
  <si>
    <t>relations with international operators</t>
  </si>
  <si>
    <t>payments to Intelsat for circuits rental</t>
  </si>
  <si>
    <t>international transit fees paid</t>
  </si>
  <si>
    <t>international accounting costs</t>
  </si>
  <si>
    <t>products design costs</t>
  </si>
  <si>
    <t>retail outlets</t>
  </si>
  <si>
    <t>cost of advertisement</t>
  </si>
  <si>
    <t>billing costs</t>
  </si>
  <si>
    <t>cost of customer care</t>
  </si>
  <si>
    <t>R&amp;D costs</t>
  </si>
  <si>
    <t>other support costs</t>
  </si>
  <si>
    <t xml:space="preserve">  customer care staff cost % total staff cost</t>
  </si>
  <si>
    <t>Indirect and common costs</t>
  </si>
  <si>
    <t>cost of capital</t>
  </si>
  <si>
    <t>Net financial debt</t>
  </si>
  <si>
    <t>Non current assets details</t>
  </si>
  <si>
    <t>Assets</t>
  </si>
  <si>
    <t xml:space="preserve">  Non curent assets</t>
  </si>
  <si>
    <t>fixed</t>
  </si>
  <si>
    <t>others</t>
  </si>
  <si>
    <t xml:space="preserve">  Current</t>
  </si>
  <si>
    <t>inventories</t>
  </si>
  <si>
    <t>trade receivab</t>
  </si>
  <si>
    <t>cash&amp;bank</t>
  </si>
  <si>
    <t>Equity and liabalities</t>
  </si>
  <si>
    <t>Capital and reserves</t>
  </si>
  <si>
    <t>share cap.</t>
  </si>
  <si>
    <t>reserve</t>
  </si>
  <si>
    <t>Current liabalities</t>
  </si>
  <si>
    <t>trade payab</t>
  </si>
  <si>
    <t>borrowings</t>
  </si>
  <si>
    <t>Equity</t>
  </si>
  <si>
    <t>Details of borrowings</t>
  </si>
  <si>
    <t>corporation tax</t>
  </si>
  <si>
    <t>Average duration of loans</t>
  </si>
  <si>
    <t>expected return on equity in us$</t>
  </si>
  <si>
    <t>Average interest rate</t>
  </si>
  <si>
    <t>Balance sheet</t>
  </si>
  <si>
    <t>Million NIO</t>
  </si>
  <si>
    <t xml:space="preserve">Net turnover </t>
  </si>
  <si>
    <t xml:space="preserve">Cost &amp; Sales </t>
  </si>
  <si>
    <t>Gross profit</t>
  </si>
  <si>
    <t xml:space="preserve">Other income </t>
  </si>
  <si>
    <t>Operating print</t>
  </si>
  <si>
    <t>Net finance costs</t>
  </si>
  <si>
    <t>Profit before taxation</t>
  </si>
  <si>
    <t>Taxation charge</t>
  </si>
  <si>
    <t>Net profit</t>
  </si>
  <si>
    <t>Test 1</t>
  </si>
  <si>
    <t>N I O</t>
  </si>
  <si>
    <t>Exogenous</t>
  </si>
  <si>
    <t>Retail</t>
  </si>
  <si>
    <t>Urban</t>
  </si>
  <si>
    <t>internat out</t>
  </si>
  <si>
    <t>to honduras</t>
  </si>
  <si>
    <t>to costa rica</t>
  </si>
  <si>
    <t>to TelCor Managua</t>
  </si>
  <si>
    <t>to TelCor Masaya</t>
  </si>
  <si>
    <t>to ragtel</t>
  </si>
  <si>
    <t>internat in</t>
  </si>
  <si>
    <t>nat IN Single</t>
  </si>
  <si>
    <t>nat to int</t>
  </si>
  <si>
    <t>nat out</t>
  </si>
  <si>
    <t>int to nat</t>
  </si>
  <si>
    <t>Test 2</t>
  </si>
  <si>
    <t>a</t>
  </si>
  <si>
    <t>Services offered by GSMNET to Telcor</t>
  </si>
  <si>
    <t>b</t>
  </si>
  <si>
    <t>c</t>
  </si>
  <si>
    <t>Retail prices to Telcor customers:</t>
  </si>
  <si>
    <t>A 1 minute call to a GSMNET subscriber</t>
  </si>
  <si>
    <t xml:space="preserve">A 1 minute call to international </t>
  </si>
  <si>
    <t>d</t>
  </si>
  <si>
    <t>The actual situation is already favourable to GSMNET with an average monthly rental fee of 10 NIO.</t>
  </si>
  <si>
    <t xml:space="preserve">But figures displayed are weighted averages and do not reflect the rates that should apply to the two </t>
  </si>
  <si>
    <t>customer segments of GSMNET: prepaids and post paid.</t>
  </si>
  <si>
    <t>80% of GSMNET customers do not pay any monthly rental fee, which results in endogenous tarifs higher than listed above:</t>
  </si>
  <si>
    <t>e</t>
  </si>
  <si>
    <t xml:space="preserve">Competion on retail international outgoing unfair because of the regulatory arbitrage: on that service, GSMNET is not contributing </t>
  </si>
  <si>
    <t>to the costs of USO decided by the government.</t>
  </si>
  <si>
    <t xml:space="preserve">Effect of USO on that service: </t>
  </si>
  <si>
    <t>f</t>
  </si>
  <si>
    <t>How to make it fair?</t>
  </si>
  <si>
    <t>but, as USO is managed as a tax, the resulting income should be entirely</t>
  </si>
  <si>
    <t>TEST 3</t>
  </si>
  <si>
    <t>(try it yourself)</t>
  </si>
  <si>
    <t>TEST 4</t>
  </si>
  <si>
    <t>inbound settlement rate in TEST 2 conditions:</t>
  </si>
  <si>
    <t>inbound settlement rate in TEST 3 conditions:</t>
  </si>
  <si>
    <t>Try</t>
  </si>
  <si>
    <t>Interurban</t>
  </si>
  <si>
    <t>International Outgoing</t>
  </si>
  <si>
    <t>International Incoming</t>
  </si>
  <si>
    <t>Subregional Outgoing</t>
  </si>
  <si>
    <t>Subregional Incoming</t>
  </si>
  <si>
    <t>International to International</t>
  </si>
  <si>
    <t>International to Subregional</t>
  </si>
  <si>
    <t>Subregional to Subregional</t>
  </si>
  <si>
    <t>National Incoming Single</t>
  </si>
  <si>
    <t>National Incoming Double</t>
  </si>
  <si>
    <t>National Outgoing</t>
  </si>
  <si>
    <t>National to National</t>
  </si>
  <si>
    <t>International to National</t>
  </si>
  <si>
    <t>National to International</t>
  </si>
  <si>
    <t>TELCOR</t>
  </si>
  <si>
    <t>gsmNet_all_prepaid</t>
  </si>
  <si>
    <t>the 1.57 should be added to GSMNET retail price on international outgoing</t>
  </si>
  <si>
    <t>oriented</t>
  </si>
  <si>
    <t>Based</t>
  </si>
  <si>
    <t>GSMNET</t>
  </si>
  <si>
    <t>many regulatory body give priority to tariffs rebalancing in order to avoid such situations</t>
  </si>
  <si>
    <t>but this may take a long time indeveloping countries where the level of access deficit</t>
  </si>
  <si>
    <t>is high</t>
  </si>
  <si>
    <t>reversed to the body managing the USO fund ("Pay or Play": GsmNet pays)</t>
  </si>
  <si>
    <t>These tariffs are now very close to those of Telcor but the monthly rental fee will make the difference in favor of GsmNet where possible</t>
  </si>
  <si>
    <t>us$</t>
  </si>
  <si>
    <t>NiO</t>
  </si>
  <si>
    <t>To H&amp;C</t>
  </si>
  <si>
    <t>To Internat</t>
  </si>
  <si>
    <t>EXO</t>
  </si>
  <si>
    <t>EXO included</t>
  </si>
  <si>
    <t>MAPPING SETTLEMENTS</t>
  </si>
  <si>
    <t>international settlement out</t>
  </si>
  <si>
    <t>international settlement IN</t>
  </si>
  <si>
    <t>national settlement out</t>
  </si>
  <si>
    <t>national settlement in single</t>
  </si>
  <si>
    <t>national-&gt;international settlement</t>
  </si>
  <si>
    <t>Weighted average</t>
  </si>
  <si>
    <t>Years</t>
  </si>
</sst>
</file>

<file path=xl/styles.xml><?xml version="1.0" encoding="utf-8"?>
<styleSheet xmlns="http://schemas.openxmlformats.org/spreadsheetml/2006/main">
  <numFmts count="56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#,##0.0000"/>
    <numFmt numFmtId="201" formatCode="#,##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-* #,##0.000_-;\-* #,##0.000_-;_-* &quot;-&quot;??_-;_-@_-"/>
    <numFmt numFmtId="206" formatCode="_-* #,##0.0000_-;\-* #,##0.0000_-;_-* &quot;-&quot;??_-;_-@_-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0.000"/>
    <numFmt numFmtId="211" formatCode="0.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u val="double"/>
      <sz val="12"/>
      <color indexed="10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u val="doub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Alignment="1">
      <alignment/>
    </xf>
    <xf numFmtId="9" fontId="0" fillId="0" borderId="0" xfId="2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9" fontId="0" fillId="3" borderId="0" xfId="21" applyFill="1" applyAlignment="1">
      <alignment/>
    </xf>
    <xf numFmtId="9" fontId="0" fillId="4" borderId="0" xfId="21" applyFill="1" applyAlignment="1">
      <alignment/>
    </xf>
    <xf numFmtId="0" fontId="0" fillId="0" borderId="0" xfId="0" applyAlignment="1">
      <alignment horizontal="center"/>
    </xf>
    <xf numFmtId="9" fontId="0" fillId="3" borderId="0" xfId="21" applyFill="1" applyAlignment="1">
      <alignment horizontal="right"/>
    </xf>
    <xf numFmtId="9" fontId="0" fillId="4" borderId="0" xfId="2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3" fontId="10" fillId="0" borderId="0" xfId="21" applyNumberFormat="1" applyFont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3" fontId="3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14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Alignment="1">
      <alignment horizontal="right"/>
    </xf>
    <xf numFmtId="0" fontId="15" fillId="0" borderId="0" xfId="0" applyFont="1" applyAlignment="1">
      <alignment/>
    </xf>
    <xf numFmtId="10" fontId="0" fillId="0" borderId="0" xfId="21" applyNumberFormat="1" applyAlignment="1">
      <alignment/>
    </xf>
    <xf numFmtId="0" fontId="0" fillId="0" borderId="0" xfId="0" applyAlignment="1">
      <alignment horizontal="left"/>
    </xf>
    <xf numFmtId="2" fontId="0" fillId="0" borderId="0" xfId="21" applyNumberFormat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vertical="top"/>
    </xf>
    <xf numFmtId="4" fontId="3" fillId="0" borderId="0" xfId="0" applyNumberFormat="1" applyFont="1" applyAlignment="1">
      <alignment horizontal="right"/>
    </xf>
    <xf numFmtId="0" fontId="18" fillId="5" borderId="0" xfId="0" applyFont="1" applyFill="1" applyAlignment="1">
      <alignment wrapText="1"/>
    </xf>
    <xf numFmtId="4" fontId="18" fillId="5" borderId="0" xfId="0" applyNumberFormat="1" applyFont="1" applyFill="1" applyAlignment="1">
      <alignment/>
    </xf>
    <xf numFmtId="0" fontId="18" fillId="5" borderId="0" xfId="0" applyFont="1" applyFill="1" applyAlignment="1">
      <alignment/>
    </xf>
    <xf numFmtId="201" fontId="4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205" fontId="0" fillId="0" borderId="0" xfId="15" applyNumberFormat="1" applyAlignment="1">
      <alignment/>
    </xf>
    <xf numFmtId="208" fontId="11" fillId="0" borderId="0" xfId="15" applyNumberFormat="1" applyFont="1" applyAlignment="1">
      <alignment/>
    </xf>
    <xf numFmtId="208" fontId="11" fillId="0" borderId="0" xfId="15" applyNumberFormat="1" applyFont="1" applyAlignment="1">
      <alignment/>
    </xf>
    <xf numFmtId="208" fontId="13" fillId="0" borderId="0" xfId="15" applyNumberFormat="1" applyFont="1" applyAlignment="1">
      <alignment/>
    </xf>
    <xf numFmtId="211" fontId="3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43</xdr:row>
      <xdr:rowOff>171450</xdr:rowOff>
    </xdr:from>
    <xdr:to>
      <xdr:col>3</xdr:col>
      <xdr:colOff>733425</xdr:colOff>
      <xdr:row>45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095375" y="8096250"/>
          <a:ext cx="3343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43</xdr:row>
      <xdr:rowOff>161925</xdr:rowOff>
    </xdr:from>
    <xdr:to>
      <xdr:col>3</xdr:col>
      <xdr:colOff>733425</xdr:colOff>
      <xdr:row>44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438650" y="808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45</xdr:row>
      <xdr:rowOff>161925</xdr:rowOff>
    </xdr:from>
    <xdr:to>
      <xdr:col>0</xdr:col>
      <xdr:colOff>2057400</xdr:colOff>
      <xdr:row>52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8467725"/>
          <a:ext cx="20193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figures were calculated by a "Pricing team" regrouping accountants and engineers. They analysed the depreciation file and allocated each piece of equipment to  the relevant network function.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2" sqref="M22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1.57421875" style="0" customWidth="1"/>
    <col min="4" max="4" width="13.28125" style="0" customWidth="1"/>
    <col min="5" max="5" width="13.57421875" style="0" customWidth="1"/>
    <col min="6" max="6" width="13.140625" style="0" customWidth="1"/>
    <col min="7" max="7" width="12.57421875" style="0" customWidth="1"/>
    <col min="8" max="8" width="14.57421875" style="0" customWidth="1"/>
    <col min="9" max="9" width="14.140625" style="0" customWidth="1"/>
    <col min="10" max="10" width="13.00390625" style="0" customWidth="1"/>
  </cols>
  <sheetData>
    <row r="1" spans="4:7" ht="12.75">
      <c r="D1" s="2" t="s">
        <v>22</v>
      </c>
      <c r="E1" s="2"/>
      <c r="F1" s="2"/>
      <c r="G1" s="2"/>
    </row>
    <row r="3" spans="2:9" s="4" customFormat="1" ht="38.25" customHeight="1">
      <c r="B3" s="4" t="s">
        <v>21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</row>
    <row r="4" spans="1:10" ht="12.75">
      <c r="A4" t="s">
        <v>13</v>
      </c>
      <c r="B4" s="1">
        <v>90000000</v>
      </c>
      <c r="C4" s="1">
        <f>+B4</f>
        <v>90000000</v>
      </c>
      <c r="J4" s="3"/>
    </row>
    <row r="5" spans="1:10" ht="12.75">
      <c r="A5" t="s">
        <v>9</v>
      </c>
      <c r="B5" s="1">
        <v>512850</v>
      </c>
      <c r="F5" s="1">
        <f>+B5</f>
        <v>512850</v>
      </c>
      <c r="J5" s="3"/>
    </row>
    <row r="6" spans="1:10" ht="12.75">
      <c r="A6" t="s">
        <v>1</v>
      </c>
      <c r="B6" s="1">
        <v>313482</v>
      </c>
      <c r="D6" s="1">
        <f>+B6</f>
        <v>313482</v>
      </c>
      <c r="J6" s="3"/>
    </row>
    <row r="7" spans="1:10" ht="12.75">
      <c r="A7" t="s">
        <v>11</v>
      </c>
      <c r="B7" s="1">
        <v>346573</v>
      </c>
      <c r="F7" s="1">
        <f>+B7</f>
        <v>346573</v>
      </c>
      <c r="J7" s="3"/>
    </row>
    <row r="8" spans="1:10" ht="12.75">
      <c r="A8" t="s">
        <v>10</v>
      </c>
      <c r="B8" s="1">
        <v>442853</v>
      </c>
      <c r="F8" s="1">
        <f>+B8</f>
        <v>442853</v>
      </c>
      <c r="J8" s="3"/>
    </row>
    <row r="9" spans="1:10" ht="12.75">
      <c r="A9" t="s">
        <v>8</v>
      </c>
      <c r="B9" s="53">
        <v>25681700</v>
      </c>
      <c r="F9" s="1">
        <f>+B9</f>
        <v>25681700</v>
      </c>
      <c r="J9" s="3"/>
    </row>
    <row r="10" spans="1:10" ht="12.75">
      <c r="A10" t="s">
        <v>5</v>
      </c>
      <c r="B10" s="1">
        <v>293755</v>
      </c>
      <c r="G10" s="1">
        <f>+B10</f>
        <v>293755</v>
      </c>
      <c r="J10" s="3"/>
    </row>
    <row r="11" spans="1:10" ht="12.75">
      <c r="A11" t="s">
        <v>0</v>
      </c>
      <c r="B11" s="1">
        <v>935081</v>
      </c>
      <c r="E11" s="1">
        <f>+B11</f>
        <v>935081</v>
      </c>
      <c r="J11" s="3"/>
    </row>
    <row r="12" spans="1:10" ht="12.75">
      <c r="A12" t="s">
        <v>7</v>
      </c>
      <c r="B12" s="1">
        <v>15442</v>
      </c>
      <c r="G12" s="1">
        <f>+B12</f>
        <v>15442</v>
      </c>
      <c r="J12" s="3"/>
    </row>
    <row r="13" spans="1:10" ht="12.75">
      <c r="A13" t="s">
        <v>2</v>
      </c>
      <c r="B13" s="1">
        <v>800246</v>
      </c>
      <c r="J13" s="3"/>
    </row>
    <row r="14" spans="1:10" ht="12.75">
      <c r="A14" t="s">
        <v>3</v>
      </c>
      <c r="B14" s="1">
        <v>57147</v>
      </c>
      <c r="I14" s="1">
        <f>+B14</f>
        <v>57147</v>
      </c>
      <c r="J14" s="3"/>
    </row>
    <row r="15" spans="1:10" ht="12.75">
      <c r="A15" t="s">
        <v>4</v>
      </c>
      <c r="B15" s="1">
        <v>318782</v>
      </c>
      <c r="G15" s="1">
        <f>+B15</f>
        <v>318782</v>
      </c>
      <c r="J15" s="3"/>
    </row>
    <row r="16" spans="1:10" ht="12.75">
      <c r="A16" t="s">
        <v>6</v>
      </c>
      <c r="B16" s="53">
        <v>49372010</v>
      </c>
      <c r="G16" s="1">
        <f>+B16</f>
        <v>49372010</v>
      </c>
      <c r="J16" s="3"/>
    </row>
    <row r="17" spans="1:10" ht="12.75">
      <c r="A17" t="s">
        <v>12</v>
      </c>
      <c r="B17" s="1">
        <v>1412547</v>
      </c>
      <c r="H17" s="1">
        <f>+B17</f>
        <v>1412547</v>
      </c>
      <c r="J17" s="3"/>
    </row>
    <row r="19" spans="3:10" s="1" customFormat="1" ht="12.75">
      <c r="C19" s="54">
        <f>SUM(C4:C17)</f>
        <v>90000000</v>
      </c>
      <c r="D19" s="54">
        <f aca="true" t="shared" si="0" ref="D19:I19">SUM(D4:D17)</f>
        <v>313482</v>
      </c>
      <c r="E19" s="54">
        <f t="shared" si="0"/>
        <v>935081</v>
      </c>
      <c r="F19" s="54">
        <f t="shared" si="0"/>
        <v>26983976</v>
      </c>
      <c r="G19" s="54">
        <f t="shared" si="0"/>
        <v>49999989</v>
      </c>
      <c r="H19" s="54">
        <f t="shared" si="0"/>
        <v>1412547</v>
      </c>
      <c r="I19" s="54">
        <f t="shared" si="0"/>
        <v>57147</v>
      </c>
      <c r="J19" s="3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pane xSplit="1" ySplit="3" topLeftCell="C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4" sqref="H54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11.7109375" style="0" customWidth="1"/>
    <col min="4" max="5" width="13.00390625" style="0" customWidth="1"/>
    <col min="6" max="6" width="10.421875" style="0" customWidth="1"/>
    <col min="7" max="7" width="11.140625" style="0" bestFit="1" customWidth="1"/>
    <col min="8" max="8" width="14.57421875" style="0" customWidth="1"/>
    <col min="9" max="9" width="12.57421875" style="0" customWidth="1"/>
    <col min="10" max="10" width="13.28125" style="0" customWidth="1"/>
    <col min="11" max="11" width="11.57421875" style="0" customWidth="1"/>
    <col min="12" max="12" width="12.57421875" style="0" customWidth="1"/>
  </cols>
  <sheetData>
    <row r="1" spans="5:10" ht="12.75">
      <c r="E1" s="2" t="s">
        <v>244</v>
      </c>
      <c r="F1" s="2"/>
      <c r="G1" s="2"/>
      <c r="H1" s="2"/>
      <c r="I1" s="2"/>
      <c r="J1" s="2"/>
    </row>
    <row r="3" spans="2:9" s="4" customFormat="1" ht="50.25" customHeight="1">
      <c r="B3" s="4" t="s">
        <v>23</v>
      </c>
      <c r="C3" s="4" t="s">
        <v>14</v>
      </c>
      <c r="D3" s="4" t="s">
        <v>245</v>
      </c>
      <c r="E3" s="4" t="s">
        <v>246</v>
      </c>
      <c r="F3" s="4" t="s">
        <v>247</v>
      </c>
      <c r="G3" s="4" t="s">
        <v>248</v>
      </c>
      <c r="H3" s="4" t="s">
        <v>249</v>
      </c>
      <c r="I3" s="4" t="s">
        <v>20</v>
      </c>
    </row>
    <row r="4" spans="1:10" ht="12.75">
      <c r="A4" t="s">
        <v>13</v>
      </c>
      <c r="B4" s="5">
        <v>0</v>
      </c>
      <c r="C4" s="5">
        <f>+IF(traffics!C4&lt;&gt;0,'Actual tariffs and rates'!$B4,0)</f>
        <v>0</v>
      </c>
      <c r="D4" s="5">
        <f>+IF(traffics!D4&lt;&gt;0,'Actual tariffs and rates'!$B4,0)</f>
        <v>0</v>
      </c>
      <c r="E4" s="5">
        <f>+IF(traffics!E4&lt;&gt;0,'Actual tariffs and rates'!$B4,0)</f>
        <v>0</v>
      </c>
      <c r="F4" s="5">
        <f>+IF(traffics!F4&lt;&gt;0,'Actual tariffs and rates'!$B4,0)</f>
        <v>0</v>
      </c>
      <c r="G4" s="5">
        <f>+IF(traffics!G4&lt;&gt;0,'Actual tariffs and rates'!$B4,0)</f>
        <v>0</v>
      </c>
      <c r="H4" s="5">
        <f>+IF(traffics!H4&lt;&gt;0,'Actual tariffs and rates'!$B4,0)</f>
        <v>0</v>
      </c>
      <c r="I4" s="5">
        <f>+IF(traffics!I4&lt;&gt;0,'Actual tariffs and rates'!$B4,0)</f>
        <v>0</v>
      </c>
      <c r="J4" s="7"/>
    </row>
    <row r="5" spans="1:10" ht="15">
      <c r="A5" t="s">
        <v>9</v>
      </c>
      <c r="B5" s="26">
        <v>4.83</v>
      </c>
      <c r="C5" s="5">
        <f>+IF(traffics!C5&lt;&gt;0,'Actual tariffs and rates'!$B5,0)</f>
        <v>0</v>
      </c>
      <c r="D5" s="5">
        <f>+IF(traffics!D5&lt;&gt;0,'Actual tariffs and rates'!$B5,0)</f>
        <v>0</v>
      </c>
      <c r="E5" s="5">
        <f>+IF(traffics!E5&lt;&gt;0,'Actual tariffs and rates'!$B5,0)</f>
        <v>0</v>
      </c>
      <c r="F5" s="5">
        <f>+IF(traffics!F5&lt;&gt;0,'Actual tariffs and rates'!$B5,0)</f>
        <v>4.83</v>
      </c>
      <c r="G5" s="5">
        <f>+IF(traffics!G5&lt;&gt;0,'Actual tariffs and rates'!$B5,0)</f>
        <v>0</v>
      </c>
      <c r="H5" s="5">
        <f>+IF(traffics!H5&lt;&gt;0,'Actual tariffs and rates'!$B5,0)</f>
        <v>0</v>
      </c>
      <c r="I5" s="5">
        <f>+IF(traffics!I5&lt;&gt;0,'Actual tariffs and rates'!$B5,0)</f>
        <v>0</v>
      </c>
      <c r="J5" s="7" t="s">
        <v>242</v>
      </c>
    </row>
    <row r="6" spans="1:10" ht="12.75">
      <c r="A6" t="s">
        <v>1</v>
      </c>
      <c r="B6" s="5">
        <f>+C45*G43</f>
        <v>3.5566756749999993</v>
      </c>
      <c r="C6" s="5">
        <f>+IF(traffics!C6&lt;&gt;0,'Actual tariffs and rates'!$B6,0)</f>
        <v>0</v>
      </c>
      <c r="D6" s="5">
        <f>+IF(traffics!D6&lt;&gt;0,'Actual tariffs and rates'!$B6,0)</f>
        <v>3.5566756749999993</v>
      </c>
      <c r="E6" s="5">
        <f>+IF(traffics!E6&lt;&gt;0,'Actual tariffs and rates'!$B6,0)</f>
        <v>0</v>
      </c>
      <c r="F6" s="5">
        <f>+IF(traffics!F6&lt;&gt;0,'Actual tariffs and rates'!$B6,0)</f>
        <v>0</v>
      </c>
      <c r="G6" s="5">
        <f>+IF(traffics!G6&lt;&gt;0,'Actual tariffs and rates'!$B6,0)</f>
        <v>0</v>
      </c>
      <c r="H6" s="5">
        <f>+IF(traffics!H6&lt;&gt;0,'Actual tariffs and rates'!$B6,0)</f>
        <v>0</v>
      </c>
      <c r="I6" s="5">
        <f>+IF(traffics!I6&lt;&gt;0,'Actual tariffs and rates'!$B6,0)</f>
        <v>0</v>
      </c>
      <c r="J6" s="7" t="s">
        <v>242</v>
      </c>
    </row>
    <row r="7" spans="1:10" ht="15">
      <c r="A7" t="s">
        <v>11</v>
      </c>
      <c r="B7" s="26">
        <v>6.28</v>
      </c>
      <c r="C7" s="5">
        <f>+IF(traffics!C7&lt;&gt;0,'Actual tariffs and rates'!$B7,0)</f>
        <v>0</v>
      </c>
      <c r="D7" s="5">
        <f>+IF(traffics!D7&lt;&gt;0,'Actual tariffs and rates'!$B7,0)</f>
        <v>0</v>
      </c>
      <c r="E7" s="5">
        <f>+IF(traffics!E7&lt;&gt;0,'Actual tariffs and rates'!$B7,0)</f>
        <v>0</v>
      </c>
      <c r="F7" s="5">
        <f>+IF(traffics!F7&lt;&gt;0,'Actual tariffs and rates'!$B7,0)</f>
        <v>6.28</v>
      </c>
      <c r="G7" s="5">
        <f>+IF(traffics!G7&lt;&gt;0,'Actual tariffs and rates'!$B7,0)</f>
        <v>0</v>
      </c>
      <c r="H7" s="5">
        <f>+IF(traffics!H7&lt;&gt;0,'Actual tariffs and rates'!$B7,0)</f>
        <v>0</v>
      </c>
      <c r="I7" s="5">
        <f>+IF(traffics!I7&lt;&gt;0,'Actual tariffs and rates'!$B7,0)</f>
        <v>0</v>
      </c>
      <c r="J7" s="7" t="s">
        <v>242</v>
      </c>
    </row>
    <row r="8" spans="1:10" ht="15">
      <c r="A8" t="s">
        <v>10</v>
      </c>
      <c r="B8" s="26">
        <v>1.63</v>
      </c>
      <c r="C8" s="5">
        <f>+IF(traffics!C8&lt;&gt;0,'Actual tariffs and rates'!$B8,0)</f>
        <v>0</v>
      </c>
      <c r="D8" s="5">
        <f>+IF(traffics!D8&lt;&gt;0,'Actual tariffs and rates'!$B8,0)</f>
        <v>0</v>
      </c>
      <c r="E8" s="5">
        <f>+IF(traffics!E8&lt;&gt;0,'Actual tariffs and rates'!$B8,0)</f>
        <v>0</v>
      </c>
      <c r="F8" s="5">
        <f>+IF(traffics!F8&lt;&gt;0,'Actual tariffs and rates'!$B8,0)</f>
        <v>1.63</v>
      </c>
      <c r="G8" s="5">
        <f>+IF(traffics!G8&lt;&gt;0,'Actual tariffs and rates'!$B8,0)</f>
        <v>0</v>
      </c>
      <c r="H8" s="5">
        <f>+IF(traffics!H8&lt;&gt;0,'Actual tariffs and rates'!$B8,0)</f>
        <v>0</v>
      </c>
      <c r="I8" s="5">
        <f>+IF(traffics!I8&lt;&gt;0,'Actual tariffs and rates'!$B8,0)</f>
        <v>0</v>
      </c>
      <c r="J8" s="7" t="s">
        <v>242</v>
      </c>
    </row>
    <row r="9" spans="1:10" ht="15">
      <c r="A9" t="s">
        <v>8</v>
      </c>
      <c r="B9" s="26">
        <v>1.07</v>
      </c>
      <c r="C9" s="5">
        <f>+IF(traffics!C9&lt;&gt;0,'Actual tariffs and rates'!$B9,0)</f>
        <v>0</v>
      </c>
      <c r="D9" s="5">
        <f>+IF(traffics!D9&lt;&gt;0,'Actual tariffs and rates'!$B9,0)</f>
        <v>0</v>
      </c>
      <c r="E9" s="5">
        <f>+IF(traffics!E9&lt;&gt;0,'Actual tariffs and rates'!$B9,0)</f>
        <v>0</v>
      </c>
      <c r="F9" s="5">
        <f>+IF(traffics!F9&lt;&gt;0,'Actual tariffs and rates'!$B9,0)</f>
        <v>1.07</v>
      </c>
      <c r="G9" s="5">
        <f>+IF(traffics!G9&lt;&gt;0,'Actual tariffs and rates'!$B9,0)</f>
        <v>0</v>
      </c>
      <c r="H9" s="5">
        <f>+IF(traffics!H9&lt;&gt;0,'Actual tariffs and rates'!$B9,0)</f>
        <v>0</v>
      </c>
      <c r="I9" s="5">
        <f>+IF(traffics!I9&lt;&gt;0,'Actual tariffs and rates'!$B9,0)</f>
        <v>0</v>
      </c>
      <c r="J9" s="7" t="s">
        <v>242</v>
      </c>
    </row>
    <row r="10" spans="1:10" ht="15">
      <c r="A10" t="s">
        <v>5</v>
      </c>
      <c r="B10" s="26">
        <v>1.06</v>
      </c>
      <c r="C10" s="5">
        <f>+IF(traffics!C10&lt;&gt;0,'Actual tariffs and rates'!$B10,0)</f>
        <v>0</v>
      </c>
      <c r="D10" s="5">
        <f>+IF(traffics!D10&lt;&gt;0,'Actual tariffs and rates'!$B10,0)</f>
        <v>0</v>
      </c>
      <c r="E10" s="5">
        <f>+IF(traffics!E10&lt;&gt;0,'Actual tariffs and rates'!$B10,0)</f>
        <v>0</v>
      </c>
      <c r="F10" s="5">
        <f>+IF(traffics!F10&lt;&gt;0,'Actual tariffs and rates'!$B10,0)</f>
        <v>0</v>
      </c>
      <c r="G10" s="5">
        <f>+IF(traffics!G10&lt;&gt;0,'Actual tariffs and rates'!$B10,0)</f>
        <v>1.06</v>
      </c>
      <c r="H10" s="5">
        <f>+IF(traffics!H10&lt;&gt;0,'Actual tariffs and rates'!$B10,0)</f>
        <v>0</v>
      </c>
      <c r="I10" s="5">
        <f>+IF(traffics!I10&lt;&gt;0,'Actual tariffs and rates'!$B10,0)</f>
        <v>0</v>
      </c>
      <c r="J10" s="7"/>
    </row>
    <row r="11" spans="1:10" ht="12.75">
      <c r="A11" t="s">
        <v>0</v>
      </c>
      <c r="B11" s="5">
        <f>+C46*G43</f>
        <v>3.0485791499999997</v>
      </c>
      <c r="C11" s="5">
        <f>+IF(traffics!C11&lt;&gt;0,'Actual tariffs and rates'!$B11,0)</f>
        <v>0</v>
      </c>
      <c r="D11" s="5">
        <f>+IF(traffics!D11&lt;&gt;0,'Actual tariffs and rates'!$B11,0)</f>
        <v>0</v>
      </c>
      <c r="E11" s="5">
        <f>+IF(traffics!E11&lt;&gt;0,'Actual tariffs and rates'!$B11,0)</f>
        <v>3.0485791499999997</v>
      </c>
      <c r="F11" s="5">
        <f>+IF(traffics!F11&lt;&gt;0,'Actual tariffs and rates'!$B11,0)</f>
        <v>0</v>
      </c>
      <c r="G11" s="5">
        <f>+IF(traffics!G11&lt;&gt;0,'Actual tariffs and rates'!$B11,0)</f>
        <v>0</v>
      </c>
      <c r="H11" s="5">
        <f>+IF(traffics!H11&lt;&gt;0,'Actual tariffs and rates'!$B11,0)</f>
        <v>0</v>
      </c>
      <c r="I11" s="5">
        <f>+IF(traffics!I11&lt;&gt;0,'Actual tariffs and rates'!$B11,0)</f>
        <v>0</v>
      </c>
      <c r="J11" s="7"/>
    </row>
    <row r="12" spans="1:10" ht="15">
      <c r="A12" t="s">
        <v>7</v>
      </c>
      <c r="B12" s="26">
        <v>1.06</v>
      </c>
      <c r="C12" s="5">
        <f>+IF(traffics!C12&lt;&gt;0,'Actual tariffs and rates'!$B12,0)</f>
        <v>0</v>
      </c>
      <c r="D12" s="5">
        <f>+IF(traffics!D12&lt;&gt;0,'Actual tariffs and rates'!$B12,0)</f>
        <v>0</v>
      </c>
      <c r="E12" s="5">
        <f>+IF(traffics!E12&lt;&gt;0,'Actual tariffs and rates'!$B12,0)</f>
        <v>0</v>
      </c>
      <c r="F12" s="5">
        <f>+IF(traffics!F12&lt;&gt;0,'Actual tariffs and rates'!$B12,0)</f>
        <v>0</v>
      </c>
      <c r="G12" s="5">
        <f>+IF(traffics!G12&lt;&gt;0,'Actual tariffs and rates'!$B12,0)</f>
        <v>1.06</v>
      </c>
      <c r="H12" s="5">
        <f>+IF(traffics!H12&lt;&gt;0,'Actual tariffs and rates'!$B12,0)</f>
        <v>0</v>
      </c>
      <c r="I12" s="5">
        <f>+IF(traffics!I12&lt;&gt;0,'Actual tariffs and rates'!$B12,0)</f>
        <v>0</v>
      </c>
      <c r="J12" s="7"/>
    </row>
    <row r="13" spans="1:10" ht="12.75">
      <c r="A13" t="s">
        <v>2</v>
      </c>
      <c r="B13" s="5">
        <v>4</v>
      </c>
      <c r="C13" s="5">
        <f>+IF(traffics!C13&lt;&gt;0,'Actual tariffs and rates'!$B13,0)</f>
        <v>0</v>
      </c>
      <c r="D13" s="5">
        <f>+IF(traffics!D13&lt;&gt;0,'Actual tariffs and rates'!$B13,0)</f>
        <v>0</v>
      </c>
      <c r="E13" s="5">
        <f>+IF(traffics!E13&lt;&gt;0,'Actual tariffs and rates'!$B13,0)</f>
        <v>0</v>
      </c>
      <c r="F13" s="5">
        <f>+IF(traffics!F13&lt;&gt;0,'Actual tariffs and rates'!$B13,0)</f>
        <v>0</v>
      </c>
      <c r="G13" s="5">
        <f>+IF(traffics!G13&lt;&gt;0,'Actual tariffs and rates'!$B13,0)</f>
        <v>0</v>
      </c>
      <c r="H13" s="5">
        <f>+IF(traffics!H13&lt;&gt;0,'Actual tariffs and rates'!$B13,0)</f>
        <v>0</v>
      </c>
      <c r="I13" s="5">
        <f>+IF(traffics!I13&lt;&gt;0,'Actual tariffs and rates'!$B13,0)</f>
        <v>0</v>
      </c>
      <c r="J13" s="7"/>
    </row>
    <row r="14" spans="1:10" ht="15">
      <c r="A14" t="s">
        <v>3</v>
      </c>
      <c r="B14" s="26">
        <v>5.61</v>
      </c>
      <c r="C14" s="5">
        <f>+IF(traffics!C14&lt;&gt;0,'Actual tariffs and rates'!$B14,0)</f>
        <v>0</v>
      </c>
      <c r="D14" s="5">
        <f>+IF(traffics!D14&lt;&gt;0,'Actual tariffs and rates'!$B14,0)</f>
        <v>0</v>
      </c>
      <c r="E14" s="5">
        <f>+IF(traffics!E14&lt;&gt;0,'Actual tariffs and rates'!$B14,0)</f>
        <v>0</v>
      </c>
      <c r="F14" s="5">
        <f>+IF(traffics!F14&lt;&gt;0,'Actual tariffs and rates'!$B14,0)</f>
        <v>0</v>
      </c>
      <c r="G14" s="5">
        <f>+IF(traffics!G14&lt;&gt;0,'Actual tariffs and rates'!$B14,0)</f>
        <v>0</v>
      </c>
      <c r="H14" s="5">
        <f>+IF(traffics!H14&lt;&gt;0,'Actual tariffs and rates'!$B14,0)</f>
        <v>0</v>
      </c>
      <c r="I14" s="5">
        <f>+IF(traffics!I14&lt;&gt;0,'Actual tariffs and rates'!$B14,0)</f>
        <v>5.61</v>
      </c>
      <c r="J14" s="69" t="s">
        <v>243</v>
      </c>
    </row>
    <row r="15" spans="1:10" ht="15">
      <c r="A15" t="s">
        <v>4</v>
      </c>
      <c r="B15" s="26">
        <v>1.06</v>
      </c>
      <c r="C15" s="5">
        <f>+IF(traffics!C15&lt;&gt;0,'Actual tariffs and rates'!$B15,0)</f>
        <v>0</v>
      </c>
      <c r="D15" s="5">
        <f>+IF(traffics!D15&lt;&gt;0,'Actual tariffs and rates'!$B15,0)</f>
        <v>0</v>
      </c>
      <c r="E15" s="5">
        <f>+IF(traffics!E15&lt;&gt;0,'Actual tariffs and rates'!$B15,0)</f>
        <v>0</v>
      </c>
      <c r="F15" s="5">
        <f>+IF(traffics!F15&lt;&gt;0,'Actual tariffs and rates'!$B15,0)</f>
        <v>0</v>
      </c>
      <c r="G15" s="5">
        <f>+IF(traffics!G15&lt;&gt;0,'Actual tariffs and rates'!$B15,0)</f>
        <v>1.06</v>
      </c>
      <c r="H15" s="5">
        <f>+IF(traffics!H15&lt;&gt;0,'Actual tariffs and rates'!$B15,0)</f>
        <v>0</v>
      </c>
      <c r="I15" s="5">
        <f>+IF(traffics!I15&lt;&gt;0,'Actual tariffs and rates'!$B15,0)</f>
        <v>0</v>
      </c>
      <c r="J15" s="7"/>
    </row>
    <row r="16" spans="1:10" ht="15">
      <c r="A16" t="s">
        <v>6</v>
      </c>
      <c r="B16" s="26">
        <v>1.06</v>
      </c>
      <c r="C16" s="5">
        <f>+IF(traffics!C16&lt;&gt;0,'Actual tariffs and rates'!$B16,0)</f>
        <v>0</v>
      </c>
      <c r="D16" s="5">
        <f>+IF(traffics!D16&lt;&gt;0,'Actual tariffs and rates'!$B16,0)</f>
        <v>0</v>
      </c>
      <c r="E16" s="5">
        <f>+IF(traffics!E16&lt;&gt;0,'Actual tariffs and rates'!$B16,0)</f>
        <v>0</v>
      </c>
      <c r="F16" s="5">
        <f>+IF(traffics!F16&lt;&gt;0,'Actual tariffs and rates'!$B16,0)</f>
        <v>0</v>
      </c>
      <c r="G16" s="5">
        <f>+IF(traffics!G16&lt;&gt;0,'Actual tariffs and rates'!$B16,0)</f>
        <v>1.06</v>
      </c>
      <c r="H16" s="5">
        <f>+IF(traffics!H16&lt;&gt;0,'Actual tariffs and rates'!$B16,0)</f>
        <v>0</v>
      </c>
      <c r="I16" s="5">
        <f>+IF(traffics!I16&lt;&gt;0,'Actual tariffs and rates'!$B16,0)</f>
        <v>0</v>
      </c>
      <c r="J16" s="7"/>
    </row>
    <row r="17" spans="1:10" ht="15">
      <c r="A17" t="s">
        <v>12</v>
      </c>
      <c r="B17" s="26">
        <v>8.17</v>
      </c>
      <c r="C17" s="5">
        <f>+IF(traffics!C17&lt;&gt;0,'Actual tariffs and rates'!$B17,0)</f>
        <v>0</v>
      </c>
      <c r="D17" s="5">
        <f>+IF(traffics!D17&lt;&gt;0,'Actual tariffs and rates'!$B17,0)</f>
        <v>0</v>
      </c>
      <c r="E17" s="5">
        <f>+IF(traffics!E17&lt;&gt;0,'Actual tariffs and rates'!$B17,0)</f>
        <v>0</v>
      </c>
      <c r="F17" s="5">
        <f>+IF(traffics!F17&lt;&gt;0,'Actual tariffs and rates'!$B17,0)</f>
        <v>0</v>
      </c>
      <c r="G17" s="5">
        <f>+IF(traffics!G17&lt;&gt;0,'Actual tariffs and rates'!$B17,0)</f>
        <v>0</v>
      </c>
      <c r="H17" s="5">
        <f>+IF(traffics!H17&lt;&gt;0,'Actual tariffs and rates'!$B17,0)</f>
        <v>8.17</v>
      </c>
      <c r="I17" s="5">
        <f>+IF(traffics!I17&lt;&gt;0,'Actual tariffs and rates'!$B17,0)</f>
        <v>0</v>
      </c>
      <c r="J17" s="7" t="s">
        <v>243</v>
      </c>
    </row>
    <row r="18" spans="3:8" ht="12.75">
      <c r="C18" s="5"/>
      <c r="D18" s="5"/>
      <c r="E18" s="5"/>
      <c r="F18" s="5"/>
      <c r="G18" s="5"/>
      <c r="H18" s="5"/>
    </row>
    <row r="19" spans="1:10" s="1" customFormat="1" ht="12.75">
      <c r="A19" s="1" t="s">
        <v>37</v>
      </c>
      <c r="C19" s="7">
        <f>+SUMPRODUCT(C4:C17,traffics!C4:C17)/SUM(traffics!C4:C17)</f>
        <v>0</v>
      </c>
      <c r="D19" s="7">
        <f>+SUMPRODUCT(D4:D17,traffics!D4:D17)/SUM(traffics!D4:D17)</f>
        <v>3.5566756749999993</v>
      </c>
      <c r="E19" s="7">
        <f>+SUMPRODUCT(E4:E17,traffics!E4:E17)/SUM(traffics!E4:E17)</f>
        <v>3.0485791499999992</v>
      </c>
      <c r="F19" s="7">
        <f>+SUMPRODUCT(F4:F17,traffics!F4:F17)/SUM(traffics!F4:F17)</f>
        <v>1.2175675419367404</v>
      </c>
      <c r="G19" s="7">
        <f>+SUMPRODUCT(G4:G17,traffics!G4:G17)/SUM(traffics!G4:G17)</f>
        <v>1.06</v>
      </c>
      <c r="H19" s="7">
        <f>+SUMPRODUCT(H4:H17,traffics!H4:H17)/SUM(traffics!H4:H17)</f>
        <v>8.17</v>
      </c>
      <c r="I19" s="7">
        <f>+SUMPRODUCT(I4:I17,traffics!I4:I17)/SUM(traffics!I4:I17)</f>
        <v>5.61</v>
      </c>
      <c r="J19" s="3"/>
    </row>
    <row r="20" ht="13.5" thickBot="1"/>
    <row r="21" spans="8:10" ht="13.5" thickBot="1">
      <c r="H21" s="72">
        <f>+H19-D6</f>
        <v>4.613324325000001</v>
      </c>
      <c r="I21" s="73">
        <f>+I19-F9</f>
        <v>4.54</v>
      </c>
      <c r="J21" s="74" t="s">
        <v>45</v>
      </c>
    </row>
    <row r="22" spans="1:6" ht="12.75">
      <c r="A22" t="s">
        <v>38</v>
      </c>
      <c r="B22" s="8">
        <v>0.12</v>
      </c>
      <c r="C22" s="12"/>
      <c r="D22" s="12"/>
      <c r="E22" s="13"/>
      <c r="F22" s="13"/>
    </row>
    <row r="23" spans="3:12" ht="12.75">
      <c r="C23" s="12"/>
      <c r="D23" s="12"/>
      <c r="E23" s="13"/>
      <c r="F23" s="13"/>
      <c r="L23">
        <f>+G19/G43</f>
        <v>0.05215544428295392</v>
      </c>
    </row>
    <row r="24" spans="3:6" ht="12.75">
      <c r="C24" s="12"/>
      <c r="D24" s="12"/>
      <c r="E24" s="13"/>
      <c r="F24" s="13"/>
    </row>
    <row r="25" spans="1:6" ht="12.75">
      <c r="A25" t="s">
        <v>39</v>
      </c>
      <c r="C25" s="14">
        <v>0.3</v>
      </c>
      <c r="D25" s="14">
        <v>0.3</v>
      </c>
      <c r="E25" s="15">
        <v>0.7</v>
      </c>
      <c r="F25" s="15">
        <v>0.7</v>
      </c>
    </row>
    <row r="26" spans="1:12" ht="12.75">
      <c r="A26" s="16" t="s">
        <v>40</v>
      </c>
      <c r="B26" s="16"/>
      <c r="C26" s="83" t="s">
        <v>41</v>
      </c>
      <c r="D26" s="83"/>
      <c r="E26" s="84" t="s">
        <v>42</v>
      </c>
      <c r="F26" s="84"/>
      <c r="G26" s="16" t="s">
        <v>43</v>
      </c>
      <c r="H26" s="16" t="s">
        <v>44</v>
      </c>
      <c r="I26" s="16" t="s">
        <v>44</v>
      </c>
      <c r="J26" s="23" t="s">
        <v>44</v>
      </c>
      <c r="K26" s="60" t="s">
        <v>173</v>
      </c>
      <c r="L26" s="23" t="s">
        <v>45</v>
      </c>
    </row>
    <row r="27" spans="1:13" ht="12.75">
      <c r="A27" s="10" t="s">
        <v>46</v>
      </c>
      <c r="B27" s="10"/>
      <c r="C27" s="17">
        <v>0.8</v>
      </c>
      <c r="D27" s="17">
        <v>0.8</v>
      </c>
      <c r="E27" s="18">
        <v>0.2</v>
      </c>
      <c r="F27" s="18">
        <v>0.2</v>
      </c>
      <c r="G27" s="10"/>
      <c r="H27" s="10" t="s">
        <v>47</v>
      </c>
      <c r="I27" s="10" t="s">
        <v>47</v>
      </c>
      <c r="J27" s="24" t="s">
        <v>47</v>
      </c>
      <c r="M27" s="24"/>
    </row>
    <row r="28" spans="1:13" ht="12.75">
      <c r="A28" s="10"/>
      <c r="B28" s="10"/>
      <c r="C28" s="19" t="s">
        <v>48</v>
      </c>
      <c r="D28" s="19" t="s">
        <v>49</v>
      </c>
      <c r="E28" s="20" t="s">
        <v>48</v>
      </c>
      <c r="F28" s="20" t="s">
        <v>49</v>
      </c>
      <c r="G28" s="10"/>
      <c r="H28" s="10" t="s">
        <v>48</v>
      </c>
      <c r="I28" s="10" t="s">
        <v>49</v>
      </c>
      <c r="J28" s="10"/>
      <c r="M28" s="10"/>
    </row>
    <row r="29" spans="1:13" ht="12.75">
      <c r="A29" s="10" t="s">
        <v>50</v>
      </c>
      <c r="B29" s="10"/>
      <c r="C29" s="17">
        <v>0.75</v>
      </c>
      <c r="D29" s="17">
        <v>0.25</v>
      </c>
      <c r="E29" s="18">
        <v>0.75</v>
      </c>
      <c r="F29" s="18">
        <v>0.25</v>
      </c>
      <c r="G29" s="10"/>
      <c r="H29" s="10"/>
      <c r="I29" s="10"/>
      <c r="J29" s="10"/>
      <c r="M29" s="10"/>
    </row>
    <row r="30" spans="1:10" ht="12.75">
      <c r="A30" t="s">
        <v>51</v>
      </c>
      <c r="C30" s="12">
        <v>265</v>
      </c>
      <c r="D30" s="12">
        <v>265</v>
      </c>
      <c r="E30" s="13">
        <v>265</v>
      </c>
      <c r="F30" s="13">
        <v>265</v>
      </c>
      <c r="J30">
        <v>265</v>
      </c>
    </row>
    <row r="31" spans="1:10" ht="12.75">
      <c r="A31" t="s">
        <v>52</v>
      </c>
      <c r="C31" s="19" t="s">
        <v>53</v>
      </c>
      <c r="D31" s="19" t="s">
        <v>53</v>
      </c>
      <c r="E31" s="20">
        <v>50</v>
      </c>
      <c r="F31" s="20">
        <v>50</v>
      </c>
      <c r="J31">
        <f>+(E31*E29+F31*F29)*E27</f>
        <v>10</v>
      </c>
    </row>
    <row r="32" spans="3:6" ht="12.75">
      <c r="C32" s="19" t="s">
        <v>54</v>
      </c>
      <c r="D32" s="12" t="s">
        <v>38</v>
      </c>
      <c r="E32" s="20" t="s">
        <v>55</v>
      </c>
      <c r="F32" s="13" t="s">
        <v>38</v>
      </c>
    </row>
    <row r="33" spans="1:12" ht="12.75">
      <c r="A33" t="s">
        <v>13</v>
      </c>
      <c r="C33" s="21">
        <v>0.673072</v>
      </c>
      <c r="D33" s="21">
        <f>+C33*0.8</f>
        <v>0.5384576</v>
      </c>
      <c r="E33" s="22">
        <v>0.48852000000000007</v>
      </c>
      <c r="F33" s="22">
        <v>0.329751</v>
      </c>
      <c r="G33" s="1">
        <f>+traffics!B4</f>
        <v>90000000</v>
      </c>
      <c r="H33" s="5">
        <f>+C33/(1+$B$22)*C$25+E33*E$25</f>
        <v>0.5222511428571429</v>
      </c>
      <c r="I33" s="5">
        <f>+D33/(1+$B$22)*D$25+F33*F$25</f>
        <v>0.37505541428571426</v>
      </c>
      <c r="J33" s="25">
        <f>+H33*C$29+I33*D$29</f>
        <v>0.4854522107142858</v>
      </c>
      <c r="K33" s="61">
        <v>0</v>
      </c>
      <c r="L33" s="25">
        <f>+J33-K33</f>
        <v>0.4854522107142858</v>
      </c>
    </row>
    <row r="34" spans="1:12" ht="12.75">
      <c r="A34" t="s">
        <v>56</v>
      </c>
      <c r="C34" s="21">
        <v>1.9</v>
      </c>
      <c r="D34" s="21">
        <v>1.6</v>
      </c>
      <c r="E34" s="22">
        <v>1.4</v>
      </c>
      <c r="F34" s="22">
        <v>1.2</v>
      </c>
      <c r="G34" s="1">
        <f>+traffics!B9</f>
        <v>25681700</v>
      </c>
      <c r="H34" s="5">
        <f aca="true" t="shared" si="0" ref="H34:I37">+C34/(1+$B$22)*C$25+E34*E$25</f>
        <v>1.4889285714285712</v>
      </c>
      <c r="I34" s="5">
        <f t="shared" si="0"/>
        <v>1.2685714285714285</v>
      </c>
      <c r="J34" s="25">
        <f>+H34*C$29+I34*D$29</f>
        <v>1.4338392857142854</v>
      </c>
      <c r="K34" s="62">
        <f>+B9</f>
        <v>1.07</v>
      </c>
      <c r="L34" s="25">
        <f>+J34-K34</f>
        <v>0.36383928571428537</v>
      </c>
    </row>
    <row r="35" spans="1:12" ht="12.75">
      <c r="A35" t="s">
        <v>57</v>
      </c>
      <c r="C35" s="21">
        <v>2.4</v>
      </c>
      <c r="D35" s="21">
        <v>2.1</v>
      </c>
      <c r="E35" s="22">
        <v>2</v>
      </c>
      <c r="F35" s="22">
        <v>1.8</v>
      </c>
      <c r="G35" s="1">
        <f>+traffics!B8</f>
        <v>442853</v>
      </c>
      <c r="H35" s="5">
        <f t="shared" si="0"/>
        <v>2.0428571428571427</v>
      </c>
      <c r="I35" s="5">
        <f t="shared" si="0"/>
        <v>1.8225</v>
      </c>
      <c r="J35" s="25">
        <f>+H35*C$29+I35*D$29</f>
        <v>1.987767857142857</v>
      </c>
      <c r="K35" s="62">
        <f>+B8</f>
        <v>1.63</v>
      </c>
      <c r="L35" s="25">
        <f>+J35-K35</f>
        <v>0.3577678571428571</v>
      </c>
    </row>
    <row r="36" spans="1:12" ht="12.75">
      <c r="A36" t="s">
        <v>58</v>
      </c>
      <c r="C36" s="21">
        <v>5.8</v>
      </c>
      <c r="D36" s="21">
        <v>5.77</v>
      </c>
      <c r="E36" s="22">
        <v>5.5</v>
      </c>
      <c r="F36" s="22">
        <v>4.3</v>
      </c>
      <c r="G36" s="1">
        <f>+traffics!B5</f>
        <v>512850</v>
      </c>
      <c r="H36" s="5">
        <f t="shared" si="0"/>
        <v>5.4035714285714285</v>
      </c>
      <c r="I36" s="5">
        <f t="shared" si="0"/>
        <v>4.555535714285714</v>
      </c>
      <c r="J36" s="25">
        <f>+H36*C$29+I36*D$29</f>
        <v>5.1915625</v>
      </c>
      <c r="K36" s="62">
        <f>+B5</f>
        <v>4.83</v>
      </c>
      <c r="L36" s="25">
        <f>+J36-K36</f>
        <v>0.3615624999999998</v>
      </c>
    </row>
    <row r="37" spans="1:12" ht="12.75">
      <c r="A37" t="s">
        <v>59</v>
      </c>
      <c r="C37" s="21">
        <v>8</v>
      </c>
      <c r="D37" s="21">
        <v>6.4</v>
      </c>
      <c r="E37" s="22">
        <v>7</v>
      </c>
      <c r="F37" s="22">
        <v>5.6</v>
      </c>
      <c r="G37" s="1">
        <f>+traffics!B7+traffics!B6</f>
        <v>660055</v>
      </c>
      <c r="H37" s="5">
        <f t="shared" si="0"/>
        <v>7.042857142857143</v>
      </c>
      <c r="I37" s="5">
        <f t="shared" si="0"/>
        <v>5.6342857142857135</v>
      </c>
      <c r="J37" s="25">
        <f>+H37*C$29+I37*D$29</f>
        <v>6.690714285714285</v>
      </c>
      <c r="K37" s="62">
        <f>(B7*traffics!B7+'Actual tariffs and rates'!B6*traffics!B6)/(traffics!B7+traffics!B6)</f>
        <v>4.986603001189825</v>
      </c>
      <c r="L37" s="25">
        <f>+J37-K37</f>
        <v>1.7041112845244601</v>
      </c>
    </row>
    <row r="39" spans="11:12" ht="12.75">
      <c r="K39" s="10" t="s">
        <v>33</v>
      </c>
      <c r="L39" s="10" t="s">
        <v>34</v>
      </c>
    </row>
    <row r="40" spans="1:12" ht="12.75">
      <c r="A40" t="s">
        <v>26</v>
      </c>
      <c r="E40">
        <f>1.3855+1.2973</f>
        <v>2.6828</v>
      </c>
      <c r="F40" s="5">
        <f>+I41-I40</f>
        <v>5.140589999999998</v>
      </c>
      <c r="H40" s="5">
        <f>+K41-K40</f>
        <v>2.9399999999999995</v>
      </c>
      <c r="I40" s="5">
        <f>+L40*K40</f>
        <v>15.69733</v>
      </c>
      <c r="J40" s="9">
        <v>1999</v>
      </c>
      <c r="K40">
        <v>12.1</v>
      </c>
      <c r="L40">
        <v>1.2973</v>
      </c>
    </row>
    <row r="41" spans="3:12" ht="12.75">
      <c r="C41" t="s">
        <v>27</v>
      </c>
      <c r="E41">
        <f>12.1+15.04</f>
        <v>27.14</v>
      </c>
      <c r="F41">
        <f>+I40+4*F40/5</f>
        <v>19.809801999999998</v>
      </c>
      <c r="H41">
        <f>+K40+4*H40/5</f>
        <v>14.451999999999998</v>
      </c>
      <c r="I41" s="5">
        <f>+L41*K41</f>
        <v>20.837919999999997</v>
      </c>
      <c r="J41" s="9">
        <v>2003</v>
      </c>
      <c r="K41">
        <v>15.04</v>
      </c>
      <c r="L41">
        <v>1.3855</v>
      </c>
    </row>
    <row r="42" spans="1:9" ht="12.75">
      <c r="A42" t="s">
        <v>24</v>
      </c>
      <c r="B42">
        <v>0.4</v>
      </c>
      <c r="C42" s="8">
        <v>0.5</v>
      </c>
      <c r="I42" s="1"/>
    </row>
    <row r="43" spans="1:12" ht="12.75">
      <c r="A43" t="s">
        <v>25</v>
      </c>
      <c r="B43">
        <v>0.3</v>
      </c>
      <c r="C43" s="8">
        <v>0.5</v>
      </c>
      <c r="E43" t="s">
        <v>30</v>
      </c>
      <c r="F43" s="10" t="s">
        <v>36</v>
      </c>
      <c r="G43" s="11">
        <f>+(I41+F41)/2</f>
        <v>20.323860999999997</v>
      </c>
      <c r="H43" t="s">
        <v>31</v>
      </c>
      <c r="J43" s="10" t="s">
        <v>35</v>
      </c>
      <c r="K43" s="11">
        <f>+(K41+H41)/2</f>
        <v>14.745999999999999</v>
      </c>
      <c r="L43" t="s">
        <v>32</v>
      </c>
    </row>
    <row r="44" ht="12.75">
      <c r="I44" s="1"/>
    </row>
    <row r="45" spans="1:9" ht="12.75">
      <c r="A45" s="10" t="s">
        <v>28</v>
      </c>
      <c r="C45" s="75">
        <f>+SUMPRODUCT(B42:B43,C42:C43)/2</f>
        <v>0.175</v>
      </c>
      <c r="H45">
        <v>150000</v>
      </c>
      <c r="I45" s="8">
        <v>0.8</v>
      </c>
    </row>
    <row r="46" spans="1:10" ht="12.75">
      <c r="A46" s="10" t="s">
        <v>29</v>
      </c>
      <c r="C46" s="75">
        <f>+B43/2</f>
        <v>0.15</v>
      </c>
      <c r="I46" s="1"/>
      <c r="J46">
        <f>+H45*I45</f>
        <v>120000</v>
      </c>
    </row>
    <row r="51" ht="12.75">
      <c r="G51">
        <v>20.84</v>
      </c>
    </row>
    <row r="52" ht="12.75">
      <c r="G52">
        <v>19.8</v>
      </c>
    </row>
    <row r="53" spans="7:8" ht="12.75">
      <c r="G53">
        <f>SUM(G51:G52)</f>
        <v>40.64</v>
      </c>
      <c r="H53">
        <f>+G53/2</f>
        <v>20.32</v>
      </c>
    </row>
  </sheetData>
  <mergeCells count="2">
    <mergeCell ref="C26:D26"/>
    <mergeCell ref="E26:F26"/>
  </mergeCells>
  <printOptions/>
  <pageMargins left="0.75" right="0.75" top="1" bottom="1" header="0.5" footer="0.5"/>
  <pageSetup fitToHeight="1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2"/>
  <sheetViews>
    <sheetView tabSelected="1" zoomScale="120" zoomScaleNormal="120"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140625" defaultRowHeight="12.75"/>
  <cols>
    <col min="1" max="1" width="31.28125" style="0" customWidth="1"/>
    <col min="2" max="2" width="11.8515625" style="0" customWidth="1"/>
    <col min="3" max="3" width="12.421875" style="0" customWidth="1"/>
    <col min="4" max="4" width="13.8515625" style="0" customWidth="1"/>
    <col min="5" max="5" width="15.28125" style="0" customWidth="1"/>
    <col min="6" max="6" width="14.421875" style="0" bestFit="1" customWidth="1"/>
    <col min="7" max="7" width="13.140625" style="0" customWidth="1"/>
    <col min="8" max="8" width="10.7109375" style="0" bestFit="1" customWidth="1"/>
    <col min="9" max="9" width="15.7109375" style="0" bestFit="1" customWidth="1"/>
    <col min="10" max="10" width="13.28125" style="0" customWidth="1"/>
    <col min="11" max="11" width="12.57421875" style="0" customWidth="1"/>
    <col min="12" max="13" width="15.57421875" style="0" bestFit="1" customWidth="1"/>
  </cols>
  <sheetData>
    <row r="3" spans="3:12" s="29" customFormat="1" ht="39">
      <c r="C3" s="30" t="s">
        <v>72</v>
      </c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L3" s="29" t="s">
        <v>81</v>
      </c>
    </row>
    <row r="4" spans="1:3" ht="15">
      <c r="A4" s="26" t="s">
        <v>60</v>
      </c>
      <c r="B4" s="1">
        <v>21304900</v>
      </c>
      <c r="C4" s="1">
        <f>+B4</f>
        <v>21304900</v>
      </c>
    </row>
    <row r="5" spans="1:7" ht="15">
      <c r="A5" s="26" t="s">
        <v>61</v>
      </c>
      <c r="B5" s="1">
        <v>25104500</v>
      </c>
      <c r="D5" s="1">
        <f>+B5-G5</f>
        <v>10856000</v>
      </c>
      <c r="G5" s="1">
        <f>+B20</f>
        <v>14248500</v>
      </c>
    </row>
    <row r="6" spans="1:10" ht="15">
      <c r="A6" s="26" t="s">
        <v>62</v>
      </c>
      <c r="B6" s="1">
        <v>15605500</v>
      </c>
      <c r="J6" s="1">
        <f>+B6</f>
        <v>15605500</v>
      </c>
    </row>
    <row r="7" spans="1:10" ht="15">
      <c r="A7" s="26" t="s">
        <v>78</v>
      </c>
      <c r="B7" s="1">
        <f>-SUM(B22:B24)</f>
        <v>1764100</v>
      </c>
      <c r="I7" s="70">
        <f>+B7</f>
        <v>1764100</v>
      </c>
      <c r="J7" s="1"/>
    </row>
    <row r="8" spans="1:5" ht="15">
      <c r="A8" s="26" t="s">
        <v>63</v>
      </c>
      <c r="B8" s="1">
        <v>10856000</v>
      </c>
      <c r="E8" s="1">
        <f>+B8</f>
        <v>10856000</v>
      </c>
    </row>
    <row r="9" spans="1:12" ht="15">
      <c r="A9" s="26" t="s">
        <v>64</v>
      </c>
      <c r="B9" s="1">
        <v>10177500</v>
      </c>
      <c r="E9" s="1">
        <f>+B9</f>
        <v>10177500</v>
      </c>
      <c r="L9" s="1">
        <f>+E9</f>
        <v>10177500</v>
      </c>
    </row>
    <row r="10" spans="1:11" ht="15">
      <c r="A10" s="26" t="s">
        <v>65</v>
      </c>
      <c r="B10" s="1">
        <v>6649300</v>
      </c>
      <c r="K10" s="70">
        <f>+B10</f>
        <v>6649300</v>
      </c>
    </row>
    <row r="11" spans="1:12" ht="15">
      <c r="A11" s="26" t="s">
        <v>66</v>
      </c>
      <c r="B11" s="1">
        <v>7192100</v>
      </c>
      <c r="E11" s="1">
        <f>+B11</f>
        <v>7192100</v>
      </c>
      <c r="L11" s="1">
        <f>+E11</f>
        <v>7192100</v>
      </c>
    </row>
    <row r="13" spans="2:13" ht="12.75">
      <c r="B13" s="1"/>
      <c r="C13" s="1">
        <f aca="true" t="shared" si="0" ref="C13:L13">SUM(C4:C12)</f>
        <v>21304900</v>
      </c>
      <c r="D13" s="1">
        <f t="shared" si="0"/>
        <v>10856000</v>
      </c>
      <c r="E13" s="1">
        <f t="shared" si="0"/>
        <v>28225600</v>
      </c>
      <c r="F13" s="1">
        <f t="shared" si="0"/>
        <v>0</v>
      </c>
      <c r="G13" s="1">
        <f t="shared" si="0"/>
        <v>14248500</v>
      </c>
      <c r="H13" s="1">
        <f t="shared" si="0"/>
        <v>0</v>
      </c>
      <c r="I13" s="1">
        <f t="shared" si="0"/>
        <v>1764100</v>
      </c>
      <c r="J13" s="1">
        <f t="shared" si="0"/>
        <v>15605500</v>
      </c>
      <c r="K13" s="1">
        <f t="shared" si="0"/>
        <v>6649300</v>
      </c>
      <c r="L13" s="1">
        <f t="shared" si="0"/>
        <v>17369600</v>
      </c>
      <c r="M13" s="1"/>
    </row>
    <row r="14" spans="1:12" ht="15">
      <c r="A14" s="26" t="s">
        <v>82</v>
      </c>
      <c r="L14" s="31">
        <f>SUM(C13:K13)</f>
        <v>98653900</v>
      </c>
    </row>
    <row r="15" spans="1:12" ht="15">
      <c r="A15" s="26" t="s">
        <v>83</v>
      </c>
      <c r="L15" s="32">
        <f>+L14-L13</f>
        <v>81284300</v>
      </c>
    </row>
    <row r="17" spans="4:8" ht="12.75">
      <c r="D17" s="45" t="s">
        <v>139</v>
      </c>
      <c r="E17" s="12"/>
      <c r="F17" s="12"/>
      <c r="G17" s="45" t="s">
        <v>147</v>
      </c>
      <c r="H17" s="12"/>
    </row>
    <row r="18" spans="4:8" ht="12.75">
      <c r="D18" s="46" t="s">
        <v>140</v>
      </c>
      <c r="E18" s="12"/>
      <c r="F18" s="12"/>
      <c r="G18" s="46" t="s">
        <v>148</v>
      </c>
      <c r="H18" s="12"/>
    </row>
    <row r="19" spans="4:9" ht="12.75">
      <c r="D19" s="19" t="s">
        <v>141</v>
      </c>
      <c r="E19" s="47">
        <f>+F41</f>
        <v>110731200</v>
      </c>
      <c r="F19" s="12"/>
      <c r="G19" s="19" t="s">
        <v>149</v>
      </c>
      <c r="H19" s="12"/>
      <c r="I19" s="1">
        <v>58508300</v>
      </c>
    </row>
    <row r="20" spans="1:9" ht="15">
      <c r="A20" s="26" t="s">
        <v>67</v>
      </c>
      <c r="B20" s="27">
        <v>14248500</v>
      </c>
      <c r="D20" s="19" t="s">
        <v>142</v>
      </c>
      <c r="E20" s="48">
        <f>+G41</f>
        <v>12755800</v>
      </c>
      <c r="F20" s="12"/>
      <c r="G20" s="19" t="s">
        <v>150</v>
      </c>
      <c r="H20" s="12"/>
      <c r="I20" s="1">
        <v>47870500</v>
      </c>
    </row>
    <row r="21" spans="1:9" ht="15">
      <c r="A21" s="26" t="s">
        <v>68</v>
      </c>
      <c r="B21" s="27">
        <v>135700</v>
      </c>
      <c r="D21" s="12"/>
      <c r="E21" s="12"/>
      <c r="F21" s="12"/>
      <c r="G21" s="12"/>
      <c r="H21" s="12"/>
      <c r="I21" s="1"/>
    </row>
    <row r="22" spans="1:9" ht="15">
      <c r="A22" s="26" t="s">
        <v>69</v>
      </c>
      <c r="B22" s="27">
        <v>-814200</v>
      </c>
      <c r="D22" s="46" t="s">
        <v>143</v>
      </c>
      <c r="E22" s="12"/>
      <c r="F22" s="12"/>
      <c r="G22" s="46" t="s">
        <v>151</v>
      </c>
      <c r="H22" s="12"/>
      <c r="I22" s="1"/>
    </row>
    <row r="23" spans="1:9" ht="15">
      <c r="A23" s="26" t="s">
        <v>70</v>
      </c>
      <c r="B23" s="27">
        <v>-542800</v>
      </c>
      <c r="D23" s="19" t="s">
        <v>144</v>
      </c>
      <c r="E23" s="47">
        <v>5699400</v>
      </c>
      <c r="F23" s="12"/>
      <c r="G23" s="19" t="s">
        <v>152</v>
      </c>
      <c r="H23" s="12"/>
      <c r="I23" s="1">
        <v>58622400</v>
      </c>
    </row>
    <row r="24" spans="1:13" ht="15">
      <c r="A24" s="26" t="s">
        <v>71</v>
      </c>
      <c r="B24" s="28">
        <v>-407100</v>
      </c>
      <c r="D24" s="19" t="s">
        <v>145</v>
      </c>
      <c r="E24" s="47">
        <v>129050700</v>
      </c>
      <c r="F24" s="12"/>
      <c r="G24" s="19" t="s">
        <v>153</v>
      </c>
      <c r="H24" s="12"/>
      <c r="I24" s="1">
        <v>95000000</v>
      </c>
      <c r="J24" s="49" t="s">
        <v>155</v>
      </c>
      <c r="M24" t="s">
        <v>250</v>
      </c>
    </row>
    <row r="25" spans="4:13" ht="12.75">
      <c r="D25" s="19" t="s">
        <v>146</v>
      </c>
      <c r="E25" s="47">
        <v>1764100</v>
      </c>
      <c r="F25" s="12"/>
      <c r="G25" s="12"/>
      <c r="H25" s="12"/>
      <c r="J25">
        <v>5</v>
      </c>
      <c r="K25" s="51" t="s">
        <v>109</v>
      </c>
      <c r="L25" s="1">
        <v>19000000</v>
      </c>
      <c r="M25" s="80">
        <f>+L25*J25</f>
        <v>95000000</v>
      </c>
    </row>
    <row r="26" spans="10:13" ht="12.75">
      <c r="J26">
        <v>10</v>
      </c>
      <c r="K26" s="51" t="s">
        <v>109</v>
      </c>
      <c r="L26" s="1">
        <v>76000000</v>
      </c>
      <c r="M26" s="80">
        <f>+L26*J26</f>
        <v>760000000</v>
      </c>
    </row>
    <row r="27" spans="1:13" ht="15">
      <c r="A27" s="33" t="s">
        <v>138</v>
      </c>
      <c r="L27" s="1">
        <f>SUM(L25:L26)</f>
        <v>95000000</v>
      </c>
      <c r="M27" s="80">
        <f>SUM(M25:M26)</f>
        <v>855000000</v>
      </c>
    </row>
    <row r="28" spans="3:13" ht="12.75">
      <c r="C28" t="s">
        <v>84</v>
      </c>
      <c r="D28" t="s">
        <v>85</v>
      </c>
      <c r="E28" t="s">
        <v>86</v>
      </c>
      <c r="F28" t="s">
        <v>87</v>
      </c>
      <c r="G28" s="39" t="s">
        <v>106</v>
      </c>
      <c r="L28" s="82" t="s">
        <v>251</v>
      </c>
      <c r="M28" s="79">
        <f>+M27/L27</f>
        <v>9</v>
      </c>
    </row>
    <row r="29" spans="3:12" ht="12.75">
      <c r="C29" t="s">
        <v>88</v>
      </c>
      <c r="D29" t="s">
        <v>89</v>
      </c>
      <c r="E29" t="s">
        <v>90</v>
      </c>
      <c r="L29" s="81"/>
    </row>
    <row r="30" ht="12.75">
      <c r="E30" t="s">
        <v>91</v>
      </c>
    </row>
    <row r="31" ht="12.75">
      <c r="A31" t="s">
        <v>105</v>
      </c>
    </row>
    <row r="32" spans="3:9" ht="12.75">
      <c r="C32" s="1"/>
      <c r="D32" s="1"/>
      <c r="E32" s="1"/>
      <c r="F32" s="1"/>
      <c r="I32" s="2" t="s">
        <v>160</v>
      </c>
    </row>
    <row r="33" spans="1:9" ht="15">
      <c r="A33" s="34">
        <v>37438</v>
      </c>
      <c r="C33" s="1">
        <v>112766700</v>
      </c>
      <c r="D33" s="1">
        <v>10991700</v>
      </c>
      <c r="E33" s="1">
        <v>12213000</v>
      </c>
      <c r="F33" s="1">
        <v>135971400</v>
      </c>
      <c r="G33" s="76">
        <f>+G35-G34</f>
        <v>25511600</v>
      </c>
      <c r="I33" t="s">
        <v>161</v>
      </c>
    </row>
    <row r="34" spans="1:10" ht="12.75">
      <c r="A34" t="s">
        <v>92</v>
      </c>
      <c r="C34" s="1">
        <v>27275700</v>
      </c>
      <c r="D34" s="1">
        <v>542800</v>
      </c>
      <c r="E34" s="1">
        <v>1221300</v>
      </c>
      <c r="F34" s="1">
        <v>29039800</v>
      </c>
      <c r="G34" s="77">
        <v>0</v>
      </c>
      <c r="I34" t="s">
        <v>162</v>
      </c>
      <c r="J34" s="1">
        <v>140585200</v>
      </c>
    </row>
    <row r="35" spans="1:10" ht="15">
      <c r="A35" s="34">
        <v>37802</v>
      </c>
      <c r="C35" s="1">
        <f>SUM(C33:C34)</f>
        <v>140042400</v>
      </c>
      <c r="D35" s="1">
        <f>SUM(D33:D34)</f>
        <v>11534500</v>
      </c>
      <c r="E35" s="1">
        <f>SUM(E33:E34)</f>
        <v>13434300</v>
      </c>
      <c r="F35" s="1">
        <f>SUM(F33:F34)</f>
        <v>165011200</v>
      </c>
      <c r="G35" s="76">
        <f>+G41+G39</f>
        <v>25511600</v>
      </c>
      <c r="I35" t="s">
        <v>163</v>
      </c>
      <c r="J35" s="1">
        <v>-96889800</v>
      </c>
    </row>
    <row r="36" spans="1:10" ht="12.75">
      <c r="A36" t="s">
        <v>79</v>
      </c>
      <c r="C36" s="1"/>
      <c r="D36" s="1"/>
      <c r="E36" s="1"/>
      <c r="F36" s="1"/>
      <c r="G36" s="76"/>
      <c r="I36" t="s">
        <v>164</v>
      </c>
      <c r="J36" s="1">
        <v>43695400.00000001</v>
      </c>
    </row>
    <row r="37" spans="1:10" ht="15">
      <c r="A37" s="34">
        <v>37438</v>
      </c>
      <c r="C37" s="1">
        <v>21712000</v>
      </c>
      <c r="D37" s="1">
        <v>6785000</v>
      </c>
      <c r="E37" s="1">
        <v>10177500</v>
      </c>
      <c r="F37" s="1">
        <v>38674500</v>
      </c>
      <c r="G37" s="76">
        <f>+G38*(2003-1998)</f>
        <v>12755800</v>
      </c>
      <c r="I37" t="s">
        <v>165</v>
      </c>
      <c r="J37" s="1">
        <v>2578300</v>
      </c>
    </row>
    <row r="38" spans="1:10" ht="15">
      <c r="A38" t="s">
        <v>93</v>
      </c>
      <c r="C38" s="1">
        <v>12891500</v>
      </c>
      <c r="D38" s="1">
        <v>949900</v>
      </c>
      <c r="E38" s="1">
        <v>1764100</v>
      </c>
      <c r="F38" s="1">
        <v>15605500</v>
      </c>
      <c r="G38" s="78">
        <f>+G41/(2008-2003)</f>
        <v>2551160</v>
      </c>
      <c r="I38" t="s">
        <v>166</v>
      </c>
      <c r="J38" s="1">
        <v>46273700.00000001</v>
      </c>
    </row>
    <row r="39" spans="1:10" ht="15">
      <c r="A39" s="34">
        <v>37802</v>
      </c>
      <c r="C39" s="1">
        <f>SUM(C37:C38)</f>
        <v>34603500</v>
      </c>
      <c r="D39" s="1">
        <f>SUM(D37:D38)</f>
        <v>7734900</v>
      </c>
      <c r="E39" s="1">
        <f>SUM(E37:E38)</f>
        <v>11941600</v>
      </c>
      <c r="F39" s="1">
        <f>SUM(F37:F38)</f>
        <v>54280000</v>
      </c>
      <c r="G39" s="78">
        <f>+G41/(2008-2003)*(2003-1998)</f>
        <v>12755800</v>
      </c>
      <c r="I39" t="s">
        <v>167</v>
      </c>
      <c r="J39" s="1">
        <v>-1628400</v>
      </c>
    </row>
    <row r="40" spans="3:10" ht="12.75">
      <c r="C40" s="1"/>
      <c r="D40" s="1"/>
      <c r="E40" s="1"/>
      <c r="F40" s="1"/>
      <c r="G40" s="41"/>
      <c r="I40" t="s">
        <v>168</v>
      </c>
      <c r="J40" s="1">
        <v>44645300</v>
      </c>
    </row>
    <row r="41" spans="1:10" ht="15">
      <c r="A41" s="34">
        <v>37802</v>
      </c>
      <c r="C41" s="1">
        <f>+C35-C39</f>
        <v>105438900</v>
      </c>
      <c r="D41" s="1">
        <f>+D35-D39</f>
        <v>3799600</v>
      </c>
      <c r="E41" s="1">
        <f>+E35-E39</f>
        <v>1492700</v>
      </c>
      <c r="F41" s="31">
        <f>+F35-F39</f>
        <v>110731200</v>
      </c>
      <c r="G41" s="40">
        <v>12755800</v>
      </c>
      <c r="I41" t="s">
        <v>169</v>
      </c>
      <c r="J41" s="1">
        <v>-9091900</v>
      </c>
    </row>
    <row r="42" spans="9:10" ht="12.75">
      <c r="I42" t="s">
        <v>170</v>
      </c>
      <c r="J42" s="1">
        <v>35553400</v>
      </c>
    </row>
    <row r="44" spans="2:6" ht="15">
      <c r="B44" s="26" t="s">
        <v>94</v>
      </c>
      <c r="F44" s="16" t="s">
        <v>95</v>
      </c>
    </row>
    <row r="45" ht="15">
      <c r="B45" s="33" t="s">
        <v>96</v>
      </c>
    </row>
    <row r="46" spans="3:6" ht="15">
      <c r="C46" s="26" t="s">
        <v>97</v>
      </c>
      <c r="D46" s="35">
        <v>0</v>
      </c>
      <c r="E46" s="36">
        <f>+F$41*D46</f>
        <v>0</v>
      </c>
      <c r="F46" s="16">
        <v>10</v>
      </c>
    </row>
    <row r="47" spans="3:6" ht="15">
      <c r="C47" s="26" t="s">
        <v>98</v>
      </c>
      <c r="D47" s="37">
        <v>0.0703</v>
      </c>
      <c r="E47" s="36">
        <f aca="true" t="shared" si="1" ref="E47:E52">+F$41*D47</f>
        <v>7784403.36</v>
      </c>
      <c r="F47" s="16">
        <v>10</v>
      </c>
    </row>
    <row r="48" spans="2:6" ht="15">
      <c r="B48" s="33" t="s">
        <v>99</v>
      </c>
      <c r="E48" s="36"/>
      <c r="F48" s="16"/>
    </row>
    <row r="49" spans="2:6" ht="15">
      <c r="B49" s="26" t="s">
        <v>100</v>
      </c>
      <c r="C49" s="26" t="s">
        <v>101</v>
      </c>
      <c r="D49" s="37">
        <v>0.266</v>
      </c>
      <c r="E49" s="36">
        <f t="shared" si="1"/>
        <v>29454499.200000003</v>
      </c>
      <c r="F49" s="16">
        <v>15</v>
      </c>
    </row>
    <row r="50" spans="2:6" ht="15">
      <c r="B50" s="26" t="s">
        <v>100</v>
      </c>
      <c r="C50" s="26" t="s">
        <v>102</v>
      </c>
      <c r="D50" s="37">
        <v>0.0653</v>
      </c>
      <c r="E50" s="36">
        <f t="shared" si="1"/>
        <v>7230747.359999999</v>
      </c>
      <c r="F50" s="16">
        <v>12</v>
      </c>
    </row>
    <row r="51" spans="2:6" ht="15">
      <c r="B51" s="33" t="s">
        <v>103</v>
      </c>
      <c r="D51" s="37">
        <v>0.5319</v>
      </c>
      <c r="E51" s="36">
        <f t="shared" si="1"/>
        <v>58897925.28</v>
      </c>
      <c r="F51" s="16">
        <v>15</v>
      </c>
    </row>
    <row r="52" spans="1:6" ht="15">
      <c r="A52" s="26"/>
      <c r="B52" s="2" t="s">
        <v>104</v>
      </c>
      <c r="D52" s="38">
        <v>0.0665</v>
      </c>
      <c r="E52" s="36">
        <f t="shared" si="1"/>
        <v>7363624.800000001</v>
      </c>
      <c r="F52" s="16"/>
    </row>
  </sheetData>
  <printOptions/>
  <pageMargins left="0.75" right="0.75" top="1" bottom="1" header="0.5" footer="0.5"/>
  <pageSetup fitToHeight="1" fitToWidth="1" horizontalDpi="1200" verticalDpi="12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6"/>
  <sheetViews>
    <sheetView workbookViewId="0" topLeftCell="A1">
      <selection activeCell="E26" sqref="E26"/>
    </sheetView>
  </sheetViews>
  <sheetFormatPr defaultColWidth="9.140625" defaultRowHeight="12.75"/>
  <cols>
    <col min="1" max="1" width="50.8515625" style="0" bestFit="1" customWidth="1"/>
    <col min="2" max="2" width="11.7109375" style="0" bestFit="1" customWidth="1"/>
    <col min="3" max="3" width="19.140625" style="0" bestFit="1" customWidth="1"/>
    <col min="4" max="4" width="31.28125" style="0" customWidth="1"/>
    <col min="5" max="5" width="13.140625" style="0" customWidth="1"/>
  </cols>
  <sheetData>
    <row r="3" ht="12.75">
      <c r="D3" s="2" t="s">
        <v>135</v>
      </c>
    </row>
    <row r="5" spans="1:5" ht="12.75">
      <c r="A5" t="s">
        <v>107</v>
      </c>
      <c r="B5" s="1">
        <v>15319173.333333334</v>
      </c>
      <c r="D5" s="44" t="s">
        <v>122</v>
      </c>
      <c r="E5" s="1">
        <f>+B15*B16</f>
        <v>40710</v>
      </c>
    </row>
    <row r="6" spans="1:5" ht="12.75">
      <c r="A6" t="s">
        <v>108</v>
      </c>
      <c r="B6">
        <v>8</v>
      </c>
      <c r="C6" t="s">
        <v>109</v>
      </c>
      <c r="D6" s="44" t="s">
        <v>123</v>
      </c>
      <c r="E6" s="1">
        <f>+B15*B17</f>
        <v>94990</v>
      </c>
    </row>
    <row r="7" spans="1:5" ht="12.75">
      <c r="A7" t="s">
        <v>110</v>
      </c>
      <c r="B7" s="8">
        <v>0.02</v>
      </c>
      <c r="C7" t="s">
        <v>111</v>
      </c>
      <c r="D7" s="44" t="s">
        <v>124</v>
      </c>
      <c r="E7" s="1">
        <v>407100</v>
      </c>
    </row>
    <row r="8" spans="1:5" ht="12.75">
      <c r="A8" t="s">
        <v>121</v>
      </c>
      <c r="B8" s="43">
        <f>+B5/B6+B7*'Costs, assets and liabalities'!$G$5</f>
        <v>2199866.666666667</v>
      </c>
      <c r="D8" s="44" t="s">
        <v>125</v>
      </c>
      <c r="E8" s="1">
        <v>162840</v>
      </c>
    </row>
    <row r="9" spans="2:5" ht="12.75">
      <c r="B9" s="8"/>
      <c r="D9" s="44" t="s">
        <v>126</v>
      </c>
      <c r="E9" s="1">
        <v>135700</v>
      </c>
    </row>
    <row r="10" spans="2:5" ht="12.75">
      <c r="B10" s="8"/>
      <c r="D10" s="44" t="s">
        <v>127</v>
      </c>
      <c r="E10" s="1">
        <v>407100</v>
      </c>
    </row>
    <row r="11" spans="1:5" ht="12.75">
      <c r="A11" t="s">
        <v>112</v>
      </c>
      <c r="B11" s="8">
        <v>0.3</v>
      </c>
      <c r="C11" t="s">
        <v>113</v>
      </c>
      <c r="D11" s="44" t="s">
        <v>128</v>
      </c>
      <c r="E11" s="1">
        <v>1764100</v>
      </c>
    </row>
    <row r="12" spans="1:5" ht="12.75">
      <c r="A12" t="s">
        <v>114</v>
      </c>
      <c r="B12" s="1">
        <v>968440</v>
      </c>
      <c r="D12" s="44" t="s">
        <v>129</v>
      </c>
      <c r="E12" s="1">
        <v>135700</v>
      </c>
    </row>
    <row r="13" spans="4:5" ht="12.75">
      <c r="D13" s="44" t="s">
        <v>130</v>
      </c>
      <c r="E13" s="1">
        <f>+B8*B11+B12</f>
        <v>1628400</v>
      </c>
    </row>
    <row r="14" spans="4:5" ht="12.75">
      <c r="D14" s="44" t="s">
        <v>131</v>
      </c>
      <c r="E14" s="1">
        <f>+B8*B20+B21+B22*'Costs, assets and liabalities'!$G$5</f>
        <v>832959</v>
      </c>
    </row>
    <row r="15" spans="1:5" ht="12.75">
      <c r="A15" t="s">
        <v>115</v>
      </c>
      <c r="B15">
        <v>135700</v>
      </c>
      <c r="D15" s="44" t="s">
        <v>132</v>
      </c>
      <c r="E15" s="1">
        <v>135700</v>
      </c>
    </row>
    <row r="16" spans="1:5" ht="12.75">
      <c r="A16" t="s">
        <v>116</v>
      </c>
      <c r="B16" s="8">
        <v>0.3</v>
      </c>
      <c r="D16" s="44" t="s">
        <v>133</v>
      </c>
      <c r="E16" s="1">
        <v>12484400</v>
      </c>
    </row>
    <row r="17" spans="1:2" ht="12.75">
      <c r="A17" t="s">
        <v>117</v>
      </c>
      <c r="B17" s="8">
        <v>0.7</v>
      </c>
    </row>
    <row r="19" spans="1:4" ht="12.75">
      <c r="A19" s="2" t="s">
        <v>118</v>
      </c>
      <c r="D19" s="31" t="s">
        <v>136</v>
      </c>
    </row>
    <row r="20" spans="1:2" ht="12.75">
      <c r="A20" t="s">
        <v>119</v>
      </c>
      <c r="B20" s="42">
        <v>0.15</v>
      </c>
    </row>
    <row r="21" spans="1:5" ht="12.75">
      <c r="A21" t="s">
        <v>120</v>
      </c>
      <c r="B21">
        <v>218009</v>
      </c>
      <c r="D21" t="s">
        <v>137</v>
      </c>
      <c r="E21" s="1">
        <f>+'Costs, assets and liabalities'!I24-'Costs, assets and liabalities'!E25</f>
        <v>93235900</v>
      </c>
    </row>
    <row r="22" spans="1:5" ht="12.75">
      <c r="A22" t="s">
        <v>134</v>
      </c>
      <c r="B22" s="8">
        <v>0.02</v>
      </c>
      <c r="D22" t="s">
        <v>154</v>
      </c>
      <c r="E22" s="1">
        <f>+'Costs, assets and liabalities'!I19+'Costs, assets and liabalities'!I20</f>
        <v>106378800</v>
      </c>
    </row>
    <row r="23" spans="4:5" ht="12.75">
      <c r="D23" t="s">
        <v>156</v>
      </c>
      <c r="E23" s="50">
        <f>-'Costs, assets and liabalities'!J41/'Costs, assets and liabalities'!J40</f>
        <v>0.20364741641337386</v>
      </c>
    </row>
    <row r="24" spans="4:5" ht="12.75">
      <c r="D24" t="s">
        <v>157</v>
      </c>
      <c r="E24" s="52">
        <f>+('Costs, assets and liabalities'!J25*'Costs, assets and liabalities'!L25+'Costs, assets and liabalities'!J26*'Costs, assets and liabalities'!L26)/('Costs, assets and liabalities'!L25+'Costs, assets and liabalities'!L26)</f>
        <v>9</v>
      </c>
    </row>
    <row r="25" spans="4:6" ht="12.75">
      <c r="D25" t="s">
        <v>158</v>
      </c>
      <c r="E25" s="50">
        <v>0.15</v>
      </c>
      <c r="F25" t="s">
        <v>238</v>
      </c>
    </row>
    <row r="26" spans="4:6" ht="12.75">
      <c r="D26" t="s">
        <v>159</v>
      </c>
      <c r="E26" s="50">
        <v>0.1125</v>
      </c>
      <c r="F26" t="s">
        <v>239</v>
      </c>
    </row>
  </sheetData>
  <printOptions/>
  <pageMargins left="0.75" right="0.75" top="1" bottom="1" header="0.5" footer="0.5"/>
  <pageSetup fitToHeight="1" fitToWidth="1" horizontalDpi="1200" verticalDpi="12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90" zoomScaleNormal="90" workbookViewId="0" topLeftCell="C1">
      <selection activeCell="C5" sqref="C5"/>
    </sheetView>
  </sheetViews>
  <sheetFormatPr defaultColWidth="9.140625" defaultRowHeight="12.75"/>
  <cols>
    <col min="1" max="1" width="6.140625" style="0" bestFit="1" customWidth="1"/>
    <col min="2" max="2" width="30.00390625" style="0" customWidth="1"/>
    <col min="3" max="3" width="14.00390625" style="56" customWidth="1"/>
    <col min="4" max="4" width="12.28125" style="56" customWidth="1"/>
    <col min="5" max="5" width="9.00390625" style="56" bestFit="1" customWidth="1"/>
    <col min="6" max="6" width="11.28125" style="56" bestFit="1" customWidth="1"/>
    <col min="7" max="7" width="10.57421875" style="56" bestFit="1" customWidth="1"/>
    <col min="8" max="8" width="7.7109375" style="56" customWidth="1"/>
    <col min="9" max="9" width="12.28125" style="0" customWidth="1"/>
    <col min="10" max="10" width="26.140625" style="0" customWidth="1"/>
    <col min="11" max="11" width="9.00390625" style="5" customWidth="1"/>
  </cols>
  <sheetData>
    <row r="1" ht="12.75">
      <c r="A1" s="55" t="s">
        <v>171</v>
      </c>
    </row>
    <row r="2" spans="4:11" ht="12.75">
      <c r="D2" s="56" t="s">
        <v>172</v>
      </c>
      <c r="J2" s="2" t="s">
        <v>232</v>
      </c>
      <c r="K2" s="65" t="s">
        <v>231</v>
      </c>
    </row>
    <row r="3" spans="3:5" ht="12.75">
      <c r="C3" s="71" t="s">
        <v>45</v>
      </c>
      <c r="D3" s="71" t="s">
        <v>173</v>
      </c>
      <c r="E3" s="71" t="s">
        <v>174</v>
      </c>
    </row>
    <row r="4" spans="2:11" ht="12.75">
      <c r="B4" t="s">
        <v>175</v>
      </c>
      <c r="C4" s="6">
        <f>+K4</f>
        <v>0.5017</v>
      </c>
      <c r="D4" s="6">
        <v>0</v>
      </c>
      <c r="E4" s="57">
        <f>+D4+C4</f>
        <v>0.5017</v>
      </c>
      <c r="F4" s="6"/>
      <c r="G4" s="6"/>
      <c r="H4" s="57"/>
      <c r="J4" t="s">
        <v>175</v>
      </c>
      <c r="K4" s="5">
        <v>0.5017</v>
      </c>
    </row>
    <row r="5" spans="2:11" ht="12.75">
      <c r="B5" t="s">
        <v>176</v>
      </c>
      <c r="C5" s="6">
        <f>+(K5*traffics!$D$6+TESTS!$K$8*traffics!$F$7)/(+traffics!$D$6+traffics!$F$7)</f>
        <v>1.7661251510858942</v>
      </c>
      <c r="D5" s="59">
        <f>+('Actual tariffs and rates'!D19*traffics!D6+'Actual tariffs and rates'!B7*traffics!F7)/(traffics!D6+traffics!F7)</f>
        <v>4.986603001189825</v>
      </c>
      <c r="E5" s="57">
        <f aca="true" t="shared" si="0" ref="E5:E16">+D5+C5</f>
        <v>6.7527281522757185</v>
      </c>
      <c r="F5" s="6"/>
      <c r="G5" s="6"/>
      <c r="H5" s="57"/>
      <c r="J5" t="s">
        <v>214</v>
      </c>
      <c r="K5" s="5">
        <v>3.2769</v>
      </c>
    </row>
    <row r="6" spans="2:11" ht="12.75">
      <c r="B6" t="s">
        <v>177</v>
      </c>
      <c r="C6" s="6">
        <f>+C$15</f>
        <v>0.3996</v>
      </c>
      <c r="D6" s="6">
        <f>+'Actual tariffs and rates'!B5</f>
        <v>4.83</v>
      </c>
      <c r="E6" s="57">
        <f t="shared" si="0"/>
        <v>5.2296000000000005</v>
      </c>
      <c r="F6" s="6"/>
      <c r="G6" s="6"/>
      <c r="H6" s="57"/>
      <c r="J6" t="s">
        <v>215</v>
      </c>
      <c r="K6" s="5">
        <v>4.6374</v>
      </c>
    </row>
    <row r="7" spans="2:11" ht="12.75">
      <c r="B7" t="s">
        <v>178</v>
      </c>
      <c r="C7" s="6">
        <f>+C$15</f>
        <v>0.3996</v>
      </c>
      <c r="D7" s="6">
        <f>+'Actual tariffs and rates'!B5</f>
        <v>4.83</v>
      </c>
      <c r="E7" s="57">
        <f t="shared" si="0"/>
        <v>5.2296000000000005</v>
      </c>
      <c r="F7" s="6"/>
      <c r="G7" s="6"/>
      <c r="H7" s="57"/>
      <c r="J7" t="s">
        <v>221</v>
      </c>
      <c r="K7" s="5">
        <v>0.5252</v>
      </c>
    </row>
    <row r="8" spans="2:11" ht="12.75">
      <c r="B8" t="s">
        <v>179</v>
      </c>
      <c r="C8" s="6">
        <f>+C$15</f>
        <v>0.3996</v>
      </c>
      <c r="D8" s="6">
        <f>+'Actual tariffs and rates'!B9</f>
        <v>1.07</v>
      </c>
      <c r="E8" s="57">
        <f t="shared" si="0"/>
        <v>1.4696</v>
      </c>
      <c r="F8" s="6"/>
      <c r="G8" s="6"/>
      <c r="H8" s="57"/>
      <c r="J8" t="s">
        <v>223</v>
      </c>
      <c r="K8" s="5">
        <v>0.3996</v>
      </c>
    </row>
    <row r="9" spans="2:13" ht="12.75">
      <c r="B9" t="s">
        <v>180</v>
      </c>
      <c r="C9" s="6">
        <f>+C$15</f>
        <v>0.3996</v>
      </c>
      <c r="D9" s="6">
        <f>+'Actual tariffs and rates'!B9</f>
        <v>1.07</v>
      </c>
      <c r="E9" s="57">
        <f t="shared" si="0"/>
        <v>1.4696</v>
      </c>
      <c r="F9" s="6"/>
      <c r="G9" s="6"/>
      <c r="H9" s="57"/>
      <c r="J9" t="s">
        <v>225</v>
      </c>
      <c r="K9" s="5">
        <v>4.3791</v>
      </c>
      <c r="M9" s="5"/>
    </row>
    <row r="10" spans="2:11" ht="12.75">
      <c r="B10" t="s">
        <v>181</v>
      </c>
      <c r="C10" s="6">
        <f>+C$15</f>
        <v>0.3996</v>
      </c>
      <c r="D10" s="6">
        <f>+'Actual tariffs and rates'!B8</f>
        <v>1.63</v>
      </c>
      <c r="E10" s="57">
        <f t="shared" si="0"/>
        <v>2.0296</v>
      </c>
      <c r="F10" s="6"/>
      <c r="G10" s="6"/>
      <c r="H10" s="57"/>
      <c r="J10" t="s">
        <v>226</v>
      </c>
      <c r="K10" s="5">
        <v>4.3791</v>
      </c>
    </row>
    <row r="11" spans="3:8" ht="12.75">
      <c r="C11" s="6"/>
      <c r="D11" s="6"/>
      <c r="E11" s="57"/>
      <c r="F11" s="6"/>
      <c r="G11" s="6"/>
      <c r="H11" s="57"/>
    </row>
    <row r="12" spans="2:8" ht="12.75">
      <c r="B12" t="s">
        <v>182</v>
      </c>
      <c r="C12" s="6">
        <f>+K6</f>
        <v>4.6374</v>
      </c>
      <c r="D12" s="6"/>
      <c r="E12" s="57">
        <f>+D12+C12</f>
        <v>4.6374</v>
      </c>
      <c r="F12" s="6"/>
      <c r="G12" s="6"/>
      <c r="H12" s="57"/>
    </row>
    <row r="13" spans="2:8" ht="12.75">
      <c r="B13" t="s">
        <v>183</v>
      </c>
      <c r="C13" s="6">
        <f>+K7</f>
        <v>0.5252</v>
      </c>
      <c r="D13" s="6"/>
      <c r="E13" s="6">
        <f t="shared" si="0"/>
        <v>0.5252</v>
      </c>
      <c r="F13" s="6"/>
      <c r="G13" s="6"/>
      <c r="H13" s="6"/>
    </row>
    <row r="14" spans="2:8" ht="12.75">
      <c r="B14" t="s">
        <v>184</v>
      </c>
      <c r="C14" s="6">
        <f>+K10</f>
        <v>4.3791</v>
      </c>
      <c r="D14" s="6"/>
      <c r="E14" s="6">
        <f t="shared" si="0"/>
        <v>4.3791</v>
      </c>
      <c r="F14" s="6"/>
      <c r="G14" s="6"/>
      <c r="H14" s="6"/>
    </row>
    <row r="15" spans="2:8" ht="12.75">
      <c r="B15" t="s">
        <v>185</v>
      </c>
      <c r="C15" s="6">
        <f>+K8</f>
        <v>0.3996</v>
      </c>
      <c r="D15" s="6"/>
      <c r="E15" s="6">
        <f t="shared" si="0"/>
        <v>0.3996</v>
      </c>
      <c r="F15" s="6"/>
      <c r="G15" s="6"/>
      <c r="H15" s="6"/>
    </row>
    <row r="16" spans="2:8" ht="12.75">
      <c r="B16" t="s">
        <v>186</v>
      </c>
      <c r="C16" s="6">
        <f>+K9</f>
        <v>4.3791</v>
      </c>
      <c r="D16" s="6"/>
      <c r="E16" s="6">
        <f t="shared" si="0"/>
        <v>4.3791</v>
      </c>
      <c r="F16" s="6"/>
      <c r="G16" s="6"/>
      <c r="H16" s="6"/>
    </row>
    <row r="17" spans="3:8" ht="12.75">
      <c r="C17" s="6"/>
      <c r="D17" s="6"/>
      <c r="E17" s="6"/>
      <c r="F17" s="6"/>
      <c r="G17" s="6"/>
      <c r="H17" s="6"/>
    </row>
    <row r="18" ht="12.75">
      <c r="A18" s="55" t="s">
        <v>187</v>
      </c>
    </row>
    <row r="19" spans="1:15" ht="12.75">
      <c r="A19" t="s">
        <v>188</v>
      </c>
      <c r="B19" s="2" t="s">
        <v>189</v>
      </c>
      <c r="J19" s="2" t="s">
        <v>227</v>
      </c>
      <c r="K19" s="65" t="s">
        <v>230</v>
      </c>
      <c r="L19" s="39" t="s">
        <v>231</v>
      </c>
      <c r="M19" t="s">
        <v>240</v>
      </c>
      <c r="N19" t="s">
        <v>241</v>
      </c>
      <c r="O19" t="s">
        <v>181</v>
      </c>
    </row>
    <row r="20" spans="2:8" ht="12.75">
      <c r="B20" t="s">
        <v>183</v>
      </c>
      <c r="C20" s="58">
        <f>+C13</f>
        <v>0.5252</v>
      </c>
      <c r="D20" s="56">
        <v>0</v>
      </c>
      <c r="E20" s="6">
        <f>+D20+C20</f>
        <v>0.5252</v>
      </c>
      <c r="F20" s="6"/>
      <c r="G20" s="6"/>
      <c r="H20" s="6"/>
    </row>
    <row r="21" spans="2:13" ht="12.75">
      <c r="B21" t="s">
        <v>184</v>
      </c>
      <c r="C21" s="58">
        <f>+C14</f>
        <v>4.3791</v>
      </c>
      <c r="D21" s="6">
        <f>+'Actual tariffs and rates'!D19</f>
        <v>3.5566756749999993</v>
      </c>
      <c r="E21" s="6">
        <f>+D21+C21</f>
        <v>7.9357756749999995</v>
      </c>
      <c r="F21" s="6"/>
      <c r="G21" s="6"/>
      <c r="H21" s="6"/>
      <c r="J21" t="s">
        <v>175</v>
      </c>
      <c r="K21" s="5">
        <v>0.5419</v>
      </c>
      <c r="L21" s="5">
        <v>0.993</v>
      </c>
      <c r="M21" s="5"/>
    </row>
    <row r="22" spans="3:13" ht="12.75">
      <c r="C22" s="6"/>
      <c r="J22" t="s">
        <v>213</v>
      </c>
      <c r="K22" s="5">
        <v>2.6511</v>
      </c>
      <c r="L22" s="5">
        <v>1.7541</v>
      </c>
      <c r="M22" s="5"/>
    </row>
    <row r="23" spans="1:14" ht="12.75">
      <c r="A23" t="s">
        <v>190</v>
      </c>
      <c r="B23" s="64"/>
      <c r="C23" s="66"/>
      <c r="D23" s="66"/>
      <c r="E23" s="66"/>
      <c r="F23" s="66"/>
      <c r="G23" s="67"/>
      <c r="H23" s="68"/>
      <c r="I23" s="63"/>
      <c r="J23" t="s">
        <v>214</v>
      </c>
      <c r="K23" s="62">
        <v>4.6258</v>
      </c>
      <c r="L23" s="62">
        <v>3.0607</v>
      </c>
      <c r="M23" s="5">
        <v>1.05</v>
      </c>
      <c r="N23">
        <v>2.5</v>
      </c>
    </row>
    <row r="24" spans="10:13" ht="12.75">
      <c r="J24" t="s">
        <v>215</v>
      </c>
      <c r="K24" s="5">
        <v>4.7011</v>
      </c>
      <c r="L24" s="5">
        <v>3.1805</v>
      </c>
      <c r="M24" s="5"/>
    </row>
    <row r="25" spans="1:13" ht="12.75">
      <c r="A25" t="s">
        <v>191</v>
      </c>
      <c r="B25" t="s">
        <v>192</v>
      </c>
      <c r="J25" t="s">
        <v>216</v>
      </c>
      <c r="K25" s="5">
        <v>3.6085</v>
      </c>
      <c r="L25" s="5">
        <v>2.3876</v>
      </c>
      <c r="M25" s="5"/>
    </row>
    <row r="26" spans="3:13" ht="12.75">
      <c r="C26" s="56" t="s">
        <v>193</v>
      </c>
      <c r="H26" s="6">
        <f>+E20+K25</f>
        <v>4.1337</v>
      </c>
      <c r="I26" s="56" t="s">
        <v>31</v>
      </c>
      <c r="J26" t="s">
        <v>217</v>
      </c>
      <c r="K26" s="5">
        <v>3.637</v>
      </c>
      <c r="L26" s="5">
        <v>2.4606</v>
      </c>
      <c r="M26" s="5"/>
    </row>
    <row r="27" spans="3:13" ht="12.75">
      <c r="C27" s="56" t="s">
        <v>194</v>
      </c>
      <c r="H27" s="6">
        <f>+E21+K25</f>
        <v>11.544275675</v>
      </c>
      <c r="I27" s="56" t="s">
        <v>31</v>
      </c>
      <c r="J27" t="s">
        <v>218</v>
      </c>
      <c r="K27" s="5">
        <v>6.0362</v>
      </c>
      <c r="L27" s="5">
        <v>4.0837</v>
      </c>
      <c r="M27" s="5"/>
    </row>
    <row r="28" spans="8:13" ht="12.75">
      <c r="H28" s="6"/>
      <c r="I28" s="56"/>
      <c r="J28" t="s">
        <v>219</v>
      </c>
      <c r="K28" s="5">
        <v>4.9721</v>
      </c>
      <c r="L28" s="5">
        <v>3.3638</v>
      </c>
      <c r="M28" s="5"/>
    </row>
    <row r="29" spans="1:13" ht="12.75">
      <c r="A29" t="s">
        <v>195</v>
      </c>
      <c r="B29" t="s">
        <v>196</v>
      </c>
      <c r="J29" t="s">
        <v>220</v>
      </c>
      <c r="K29" s="5">
        <v>3.908</v>
      </c>
      <c r="L29" s="5">
        <v>2.6439</v>
      </c>
      <c r="M29" s="5"/>
    </row>
    <row r="30" spans="2:13" ht="12.75">
      <c r="B30" t="s">
        <v>197</v>
      </c>
      <c r="J30" t="s">
        <v>221</v>
      </c>
      <c r="K30" s="5">
        <v>1.233</v>
      </c>
      <c r="L30" s="5">
        <v>0.8342</v>
      </c>
      <c r="M30" s="5"/>
    </row>
    <row r="31" spans="2:13" ht="12.75">
      <c r="B31" t="s">
        <v>198</v>
      </c>
      <c r="J31" t="s">
        <v>222</v>
      </c>
      <c r="K31" s="5">
        <v>2.4362</v>
      </c>
      <c r="L31" s="5">
        <v>1.6482</v>
      </c>
      <c r="M31" s="5"/>
    </row>
    <row r="32" spans="2:15" ht="12.75">
      <c r="B32" t="s">
        <v>199</v>
      </c>
      <c r="J32" t="s">
        <v>223</v>
      </c>
      <c r="K32" s="5">
        <v>1.7012</v>
      </c>
      <c r="L32" s="5">
        <v>1.1256</v>
      </c>
      <c r="M32" s="5"/>
      <c r="O32">
        <v>0.6</v>
      </c>
    </row>
    <row r="33" spans="4:13" ht="12.75">
      <c r="D33" s="56" t="s">
        <v>172</v>
      </c>
      <c r="J33" t="s">
        <v>224</v>
      </c>
      <c r="K33" s="5">
        <v>1.025</v>
      </c>
      <c r="L33" s="5">
        <v>0.6935</v>
      </c>
      <c r="M33" s="5"/>
    </row>
    <row r="34" spans="3:13" ht="12.75">
      <c r="C34" s="56" t="s">
        <v>45</v>
      </c>
      <c r="D34" s="56" t="s">
        <v>173</v>
      </c>
      <c r="E34" s="56" t="s">
        <v>174</v>
      </c>
      <c r="J34" t="s">
        <v>225</v>
      </c>
      <c r="K34" s="5">
        <v>3.7775</v>
      </c>
      <c r="L34" s="5">
        <v>2.5556</v>
      </c>
      <c r="M34" s="5"/>
    </row>
    <row r="35" spans="2:13" ht="12.75">
      <c r="B35" t="s">
        <v>175</v>
      </c>
      <c r="C35" s="6">
        <f>+K38</f>
        <v>0.6471</v>
      </c>
      <c r="D35" s="6">
        <v>0</v>
      </c>
      <c r="E35" s="57">
        <f>+D35+C35</f>
        <v>0.6471</v>
      </c>
      <c r="F35" s="6"/>
      <c r="G35" s="6"/>
      <c r="H35" s="57"/>
      <c r="J35" t="s">
        <v>226</v>
      </c>
      <c r="K35" s="5">
        <v>3.7775</v>
      </c>
      <c r="L35" s="5">
        <v>2.5556</v>
      </c>
      <c r="M35" s="5"/>
    </row>
    <row r="36" spans="2:14" ht="12.75">
      <c r="B36" t="s">
        <v>182</v>
      </c>
      <c r="C36" s="6">
        <f>+K40</f>
        <v>4.6374</v>
      </c>
      <c r="D36" s="6">
        <v>0</v>
      </c>
      <c r="E36" s="57">
        <f aca="true" t="shared" si="1" ref="E36:E47">+D36+C36</f>
        <v>4.6374</v>
      </c>
      <c r="F36" s="6"/>
      <c r="G36" s="6"/>
      <c r="H36" s="57"/>
      <c r="N36" s="5"/>
    </row>
    <row r="37" spans="2:10" ht="12.75">
      <c r="B37" t="s">
        <v>176</v>
      </c>
      <c r="C37" s="6">
        <f>+(K39*traffics!$D$6+TESTS!$K$8*traffics!$F$7)/(+traffics!$D$6+traffics!$F$7)</f>
        <v>2.216931696601041</v>
      </c>
      <c r="D37" s="6">
        <f aca="true" t="shared" si="2" ref="D37:D42">+D5</f>
        <v>4.986603001189825</v>
      </c>
      <c r="E37" s="57">
        <f t="shared" si="1"/>
        <v>7.203534697790866</v>
      </c>
      <c r="F37" s="6"/>
      <c r="G37" s="6"/>
      <c r="H37" s="57"/>
      <c r="J37" s="2" t="s">
        <v>228</v>
      </c>
    </row>
    <row r="38" spans="2:11" ht="12.75">
      <c r="B38" t="s">
        <v>177</v>
      </c>
      <c r="C38" s="6">
        <f>+C$46</f>
        <v>0.5154</v>
      </c>
      <c r="D38" s="6">
        <f t="shared" si="2"/>
        <v>4.83</v>
      </c>
      <c r="E38" s="57">
        <f t="shared" si="1"/>
        <v>5.3454</v>
      </c>
      <c r="F38" s="6"/>
      <c r="G38" s="6"/>
      <c r="H38" s="57"/>
      <c r="J38" t="s">
        <v>175</v>
      </c>
      <c r="K38" s="5">
        <v>0.6471</v>
      </c>
    </row>
    <row r="39" spans="2:11" ht="12.75">
      <c r="B39" t="s">
        <v>178</v>
      </c>
      <c r="C39" s="6">
        <f>+C$46</f>
        <v>0.5154</v>
      </c>
      <c r="D39" s="6">
        <f t="shared" si="2"/>
        <v>4.83</v>
      </c>
      <c r="E39" s="57">
        <f t="shared" si="1"/>
        <v>5.3454</v>
      </c>
      <c r="F39" s="6"/>
      <c r="G39" s="6"/>
      <c r="H39" s="57"/>
      <c r="J39" t="s">
        <v>214</v>
      </c>
      <c r="K39" s="5">
        <v>4.2261</v>
      </c>
    </row>
    <row r="40" spans="2:11" ht="12.75">
      <c r="B40" t="s">
        <v>179</v>
      </c>
      <c r="C40" s="6">
        <f>+C$46</f>
        <v>0.5154</v>
      </c>
      <c r="D40" s="6">
        <f t="shared" si="2"/>
        <v>1.07</v>
      </c>
      <c r="E40" s="57">
        <f t="shared" si="1"/>
        <v>1.5854</v>
      </c>
      <c r="F40" s="6"/>
      <c r="G40" s="6"/>
      <c r="H40" s="57"/>
      <c r="J40" t="s">
        <v>215</v>
      </c>
      <c r="K40" s="5">
        <v>4.6374</v>
      </c>
    </row>
    <row r="41" spans="2:11" ht="12.75">
      <c r="B41" t="s">
        <v>180</v>
      </c>
      <c r="C41" s="6">
        <f>+C$46</f>
        <v>0.5154</v>
      </c>
      <c r="D41" s="6">
        <f t="shared" si="2"/>
        <v>1.07</v>
      </c>
      <c r="E41" s="57">
        <f t="shared" si="1"/>
        <v>1.5854</v>
      </c>
      <c r="F41" s="6"/>
      <c r="G41" s="6"/>
      <c r="H41" s="57"/>
      <c r="J41" t="s">
        <v>221</v>
      </c>
      <c r="K41" s="5">
        <v>0.5252</v>
      </c>
    </row>
    <row r="42" spans="2:11" ht="12.75">
      <c r="B42" t="s">
        <v>181</v>
      </c>
      <c r="C42" s="6">
        <f>+C$46</f>
        <v>0.5154</v>
      </c>
      <c r="D42" s="6">
        <f t="shared" si="2"/>
        <v>1.63</v>
      </c>
      <c r="E42" s="57">
        <f t="shared" si="1"/>
        <v>2.1454</v>
      </c>
      <c r="F42" s="6"/>
      <c r="G42" s="6"/>
      <c r="H42" s="57"/>
      <c r="J42" t="s">
        <v>223</v>
      </c>
      <c r="K42" s="5">
        <v>0.5154</v>
      </c>
    </row>
    <row r="43" spans="3:11" ht="12.75">
      <c r="C43" s="6"/>
      <c r="D43" s="6"/>
      <c r="E43" s="6"/>
      <c r="F43" s="6"/>
      <c r="G43" s="6"/>
      <c r="H43" s="6"/>
      <c r="J43" t="s">
        <v>224</v>
      </c>
      <c r="K43" s="5">
        <v>0</v>
      </c>
    </row>
    <row r="44" spans="2:11" ht="12.75">
      <c r="B44" t="s">
        <v>183</v>
      </c>
      <c r="C44" s="6">
        <f>+K41</f>
        <v>0.5252</v>
      </c>
      <c r="D44" s="6"/>
      <c r="E44" s="6">
        <f t="shared" si="1"/>
        <v>0.5252</v>
      </c>
      <c r="F44" s="6"/>
      <c r="G44" s="6"/>
      <c r="H44" s="6"/>
      <c r="J44" t="s">
        <v>225</v>
      </c>
      <c r="K44" s="5">
        <v>4.3791</v>
      </c>
    </row>
    <row r="45" spans="2:11" ht="12.75">
      <c r="B45" t="s">
        <v>184</v>
      </c>
      <c r="C45" s="6">
        <f>+K45</f>
        <v>4.3791</v>
      </c>
      <c r="D45" s="6"/>
      <c r="E45" s="6">
        <f t="shared" si="1"/>
        <v>4.3791</v>
      </c>
      <c r="F45" s="6"/>
      <c r="G45" s="6"/>
      <c r="H45" s="6"/>
      <c r="J45" t="s">
        <v>226</v>
      </c>
      <c r="K45" s="5">
        <v>4.3791</v>
      </c>
    </row>
    <row r="46" spans="2:8" ht="12.75">
      <c r="B46" t="s">
        <v>185</v>
      </c>
      <c r="C46" s="6">
        <f>+K42</f>
        <v>0.5154</v>
      </c>
      <c r="D46" s="6"/>
      <c r="E46" s="6">
        <f t="shared" si="1"/>
        <v>0.5154</v>
      </c>
      <c r="F46" s="6"/>
      <c r="G46" s="6"/>
      <c r="H46" s="6"/>
    </row>
    <row r="47" spans="2:8" ht="12.75">
      <c r="B47" t="s">
        <v>186</v>
      </c>
      <c r="C47" s="6">
        <f>+K44</f>
        <v>4.3791</v>
      </c>
      <c r="D47" s="6"/>
      <c r="E47" s="6">
        <f t="shared" si="1"/>
        <v>4.3791</v>
      </c>
      <c r="F47" s="6"/>
      <c r="G47" s="6"/>
      <c r="H47" s="6"/>
    </row>
    <row r="48" ht="12.75">
      <c r="B48" t="s">
        <v>237</v>
      </c>
    </row>
    <row r="49" ht="12.75">
      <c r="J49" s="2"/>
    </row>
    <row r="50" spans="1:2" ht="12.75">
      <c r="A50" t="s">
        <v>200</v>
      </c>
      <c r="B50" t="s">
        <v>201</v>
      </c>
    </row>
    <row r="51" ht="12.75">
      <c r="B51" t="s">
        <v>202</v>
      </c>
    </row>
    <row r="52" spans="2:5" ht="12.75">
      <c r="B52" t="s">
        <v>203</v>
      </c>
      <c r="D52" s="6">
        <f>+K23-L23</f>
        <v>1.5650999999999997</v>
      </c>
      <c r="E52" s="56" t="s">
        <v>31</v>
      </c>
    </row>
    <row r="54" spans="1:2" ht="12.75">
      <c r="A54" t="s">
        <v>204</v>
      </c>
      <c r="B54" t="s">
        <v>205</v>
      </c>
    </row>
    <row r="55" spans="2:3" ht="12.75">
      <c r="B55">
        <v>1</v>
      </c>
      <c r="C55" s="56" t="s">
        <v>229</v>
      </c>
    </row>
    <row r="56" ht="12.75">
      <c r="C56" s="56" t="s">
        <v>206</v>
      </c>
    </row>
    <row r="57" ht="12.75">
      <c r="C57" s="56" t="s">
        <v>236</v>
      </c>
    </row>
    <row r="58" spans="2:3" ht="12.75">
      <c r="B58">
        <v>2</v>
      </c>
      <c r="C58" s="56" t="s">
        <v>233</v>
      </c>
    </row>
    <row r="59" ht="12.75">
      <c r="C59" s="56" t="s">
        <v>234</v>
      </c>
    </row>
    <row r="60" ht="12.75">
      <c r="C60" s="56" t="s">
        <v>235</v>
      </c>
    </row>
    <row r="61" ht="12.75">
      <c r="B61">
        <v>3</v>
      </c>
    </row>
    <row r="64" spans="1:3" ht="12.75">
      <c r="A64" s="55" t="s">
        <v>207</v>
      </c>
      <c r="C64" s="56" t="s">
        <v>208</v>
      </c>
    </row>
    <row r="66" ht="12.75">
      <c r="A66" s="55" t="s">
        <v>209</v>
      </c>
    </row>
    <row r="67" spans="2:5" ht="12.75">
      <c r="B67" t="s">
        <v>210</v>
      </c>
      <c r="E67" s="56" t="s">
        <v>212</v>
      </c>
    </row>
    <row r="68" spans="2:5" ht="12.75">
      <c r="B68" t="s">
        <v>211</v>
      </c>
      <c r="E68" s="56" t="s">
        <v>212</v>
      </c>
    </row>
  </sheetData>
  <printOptions/>
  <pageMargins left="0.75" right="0.75" top="1" bottom="1" header="0.5" footer="0.5"/>
  <pageSetup fitToHeight="1" fitToWidth="1"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P-G Touré</dc:creator>
  <cp:keywords/>
  <dc:description/>
  <cp:lastModifiedBy>Jennifer D'Oliveira</cp:lastModifiedBy>
  <cp:lastPrinted>2004-11-02T22:22:33Z</cp:lastPrinted>
  <dcterms:created xsi:type="dcterms:W3CDTF">2004-10-03T10:43:31Z</dcterms:created>
  <dcterms:modified xsi:type="dcterms:W3CDTF">2004-11-16T11:31:38Z</dcterms:modified>
  <cp:category/>
  <cp:version/>
  <cp:contentType/>
  <cp:contentStatus/>
</cp:coreProperties>
</file>