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465" windowWidth="32580" windowHeight="20100" tabRatio="645" activeTab="7"/>
  </bookViews>
  <sheets>
    <sheet name="General note" sheetId="15" r:id="rId1"/>
    <sheet name="InH-eMBB (4GHz, DSUUD)" sheetId="12" r:id="rId2"/>
    <sheet name="DU-eMBB (4GHz, DSUUD)" sheetId="13" r:id="rId3"/>
    <sheet name="Rural-eMBB (700MHz, FDD)" sheetId="6" r:id="rId4"/>
    <sheet name="Rural-LMLC(700 MHz, DSUUD) " sheetId="31" r:id="rId5"/>
    <sheet name="Rural-eMBB (700 MHz, DSUUD)" sheetId="14" r:id="rId6"/>
    <sheet name="Rural-eMBB (4GHz, DSUUD)" sheetId="30" r:id="rId7"/>
    <sheet name="Uma-mMTC (IOT)" sheetId="29" r:id="rId8"/>
    <sheet name="UMa-URLLC (700MHz )" sheetId="27" r:id="rId9"/>
    <sheet name="MaxN_RB" sheetId="10" r:id="rId10"/>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0" i="27" l="1"/>
  <c r="L60" i="27"/>
  <c r="I60" i="27"/>
  <c r="H60" i="27"/>
  <c r="G60" i="27"/>
  <c r="F60" i="27"/>
  <c r="H58" i="27"/>
  <c r="F58" i="27"/>
  <c r="D58" i="27"/>
  <c r="B58" i="27"/>
  <c r="I57" i="27"/>
  <c r="G57" i="27"/>
  <c r="E57" i="27"/>
  <c r="C57" i="27"/>
  <c r="H46" i="27"/>
  <c r="D46" i="27"/>
  <c r="G45" i="27"/>
  <c r="C45" i="27"/>
  <c r="M42" i="27"/>
  <c r="K42" i="27"/>
  <c r="H42" i="27"/>
  <c r="F42" i="27"/>
  <c r="D42" i="27"/>
  <c r="D13" i="27" s="1"/>
  <c r="B42" i="27"/>
  <c r="B13" i="27" s="1"/>
  <c r="L41" i="27"/>
  <c r="J41" i="27"/>
  <c r="I41" i="27"/>
  <c r="G41" i="27"/>
  <c r="E41" i="27"/>
  <c r="C41" i="27"/>
  <c r="M40" i="27"/>
  <c r="M44" i="27" s="1"/>
  <c r="M51" i="27" s="1"/>
  <c r="K40" i="27"/>
  <c r="K44" i="27" s="1"/>
  <c r="K51" i="27" s="1"/>
  <c r="H40" i="27"/>
  <c r="H44" i="27" s="1"/>
  <c r="H51" i="27" s="1"/>
  <c r="F40" i="27"/>
  <c r="F44" i="27" s="1"/>
  <c r="F51" i="27" s="1"/>
  <c r="D40" i="27"/>
  <c r="B40" i="27"/>
  <c r="L39" i="27"/>
  <c r="L43" i="27" s="1"/>
  <c r="L50" i="27" s="1"/>
  <c r="J39" i="27"/>
  <c r="J43" i="27" s="1"/>
  <c r="J50" i="27" s="1"/>
  <c r="I39" i="27"/>
  <c r="I43" i="27" s="1"/>
  <c r="I50" i="27" s="1"/>
  <c r="G39" i="27"/>
  <c r="G43" i="27" s="1"/>
  <c r="G50" i="27" s="1"/>
  <c r="E39" i="27"/>
  <c r="E43" i="27" s="1"/>
  <c r="E50" i="27" s="1"/>
  <c r="C39" i="27"/>
  <c r="C43" i="27" s="1"/>
  <c r="C50" i="27" s="1"/>
  <c r="M33" i="27"/>
  <c r="L33" i="27"/>
  <c r="K33" i="27"/>
  <c r="J33" i="27"/>
  <c r="I33" i="27"/>
  <c r="H33" i="27"/>
  <c r="G33" i="27"/>
  <c r="F33" i="27"/>
  <c r="E33" i="27"/>
  <c r="D33" i="27"/>
  <c r="C33" i="27"/>
  <c r="B33" i="27"/>
  <c r="M28" i="27"/>
  <c r="I27" i="27"/>
  <c r="M23" i="27"/>
  <c r="L23" i="27"/>
  <c r="L28" i="27" s="1"/>
  <c r="K23" i="27"/>
  <c r="J23" i="27"/>
  <c r="I23" i="27"/>
  <c r="H23" i="27"/>
  <c r="G23" i="27"/>
  <c r="F23" i="27"/>
  <c r="E23" i="27"/>
  <c r="E28" i="27" s="1"/>
  <c r="D23" i="27"/>
  <c r="D28" i="27" s="1"/>
  <c r="C23" i="27"/>
  <c r="B23" i="27"/>
  <c r="M21" i="27"/>
  <c r="L21" i="27"/>
  <c r="K21" i="27"/>
  <c r="K28" i="27" s="1"/>
  <c r="J21" i="27"/>
  <c r="J28" i="27" s="1"/>
  <c r="I21" i="27"/>
  <c r="I28" i="27" s="1"/>
  <c r="H21" i="27"/>
  <c r="H28" i="27" s="1"/>
  <c r="H53" i="27" s="1"/>
  <c r="H63" i="27" s="1"/>
  <c r="H66" i="27" s="1"/>
  <c r="H68" i="27" s="1"/>
  <c r="G21" i="27"/>
  <c r="G27" i="27" s="1"/>
  <c r="F21" i="27"/>
  <c r="F27" i="27" s="1"/>
  <c r="E21" i="27"/>
  <c r="D21" i="27"/>
  <c r="C21" i="27"/>
  <c r="C28" i="27" s="1"/>
  <c r="B21" i="27"/>
  <c r="B28" i="27" s="1"/>
  <c r="M13" i="27"/>
  <c r="K13" i="27"/>
  <c r="M10" i="27"/>
  <c r="K10" i="27"/>
  <c r="H10" i="27"/>
  <c r="H13" i="27" s="1"/>
  <c r="F10" i="27"/>
  <c r="F13" i="27" s="1"/>
  <c r="D10" i="27"/>
  <c r="B10" i="27"/>
  <c r="M59" i="29"/>
  <c r="L59" i="29"/>
  <c r="G59" i="29"/>
  <c r="F59" i="29"/>
  <c r="L51" i="29"/>
  <c r="G50" i="29"/>
  <c r="D44" i="29"/>
  <c r="D51" i="29" s="1"/>
  <c r="B44" i="29"/>
  <c r="B51" i="29" s="1"/>
  <c r="L42" i="29"/>
  <c r="J42" i="29"/>
  <c r="J13" i="29" s="1"/>
  <c r="F42" i="29"/>
  <c r="D42" i="29"/>
  <c r="M41" i="29"/>
  <c r="K41" i="29"/>
  <c r="G41" i="29"/>
  <c r="E41" i="29"/>
  <c r="L40" i="29"/>
  <c r="L44" i="29" s="1"/>
  <c r="J40" i="29"/>
  <c r="J44" i="29" s="1"/>
  <c r="J51" i="29" s="1"/>
  <c r="H40" i="29"/>
  <c r="H44" i="29" s="1"/>
  <c r="H51" i="29" s="1"/>
  <c r="F40" i="29"/>
  <c r="F44" i="29" s="1"/>
  <c r="F51" i="29" s="1"/>
  <c r="D40" i="29"/>
  <c r="B40" i="29"/>
  <c r="M39" i="29"/>
  <c r="M43" i="29" s="1"/>
  <c r="M50" i="29" s="1"/>
  <c r="K39" i="29"/>
  <c r="K43" i="29" s="1"/>
  <c r="K50" i="29" s="1"/>
  <c r="I39" i="29"/>
  <c r="I43" i="29" s="1"/>
  <c r="I50" i="29" s="1"/>
  <c r="G39" i="29"/>
  <c r="G43" i="29" s="1"/>
  <c r="E39" i="29"/>
  <c r="E43" i="29" s="1"/>
  <c r="E50" i="29" s="1"/>
  <c r="C39" i="29"/>
  <c r="C43" i="29" s="1"/>
  <c r="C50" i="29" s="1"/>
  <c r="M33" i="29"/>
  <c r="L33" i="29"/>
  <c r="K33" i="29"/>
  <c r="J33" i="29"/>
  <c r="I33" i="29"/>
  <c r="H33" i="29"/>
  <c r="G33" i="29"/>
  <c r="F33" i="29"/>
  <c r="E33" i="29"/>
  <c r="D33" i="29"/>
  <c r="C33" i="29"/>
  <c r="B33" i="29"/>
  <c r="H27" i="29"/>
  <c r="M23" i="29"/>
  <c r="M28" i="29" s="1"/>
  <c r="L23" i="29"/>
  <c r="K23" i="29"/>
  <c r="J23" i="29"/>
  <c r="I23" i="29"/>
  <c r="H23" i="29"/>
  <c r="G23" i="29"/>
  <c r="F23" i="29"/>
  <c r="E23" i="29"/>
  <c r="E27" i="29" s="1"/>
  <c r="E52" i="29" s="1"/>
  <c r="E61" i="29" s="1"/>
  <c r="E65" i="29" s="1"/>
  <c r="E67" i="29" s="1"/>
  <c r="D23" i="29"/>
  <c r="D28" i="29" s="1"/>
  <c r="D53" i="29" s="1"/>
  <c r="D62" i="29" s="1"/>
  <c r="D66" i="29" s="1"/>
  <c r="D68" i="29" s="1"/>
  <c r="C23" i="29"/>
  <c r="B23" i="29"/>
  <c r="C22" i="29"/>
  <c r="B22" i="29"/>
  <c r="K21" i="29"/>
  <c r="J21" i="29"/>
  <c r="G21" i="29"/>
  <c r="G27" i="29" s="1"/>
  <c r="G52" i="29" s="1"/>
  <c r="G61" i="29" s="1"/>
  <c r="G65" i="29" s="1"/>
  <c r="G67" i="29" s="1"/>
  <c r="F21" i="29"/>
  <c r="F27" i="29" s="1"/>
  <c r="E21" i="29"/>
  <c r="D21" i="29"/>
  <c r="D27" i="29" s="1"/>
  <c r="C21" i="29"/>
  <c r="B21" i="29"/>
  <c r="M20" i="29"/>
  <c r="M21" i="29" s="1"/>
  <c r="L20" i="29"/>
  <c r="L21" i="29" s="1"/>
  <c r="L27" i="29" s="1"/>
  <c r="K20" i="29"/>
  <c r="J20" i="29"/>
  <c r="I20" i="29"/>
  <c r="I21" i="29" s="1"/>
  <c r="I28" i="29" s="1"/>
  <c r="H20" i="29"/>
  <c r="H21" i="29" s="1"/>
  <c r="H28" i="29" s="1"/>
  <c r="H53" i="29" s="1"/>
  <c r="H62" i="29" s="1"/>
  <c r="H66" i="29" s="1"/>
  <c r="H68" i="29" s="1"/>
  <c r="L13" i="29"/>
  <c r="H13" i="29"/>
  <c r="F13" i="29"/>
  <c r="D13" i="29"/>
  <c r="B13" i="29"/>
  <c r="J51" i="30"/>
  <c r="J44" i="30"/>
  <c r="M43" i="30"/>
  <c r="M50" i="30" s="1"/>
  <c r="K43" i="30"/>
  <c r="K50" i="30" s="1"/>
  <c r="P42" i="30"/>
  <c r="N42" i="30"/>
  <c r="L42" i="30"/>
  <c r="L13" i="30" s="1"/>
  <c r="J42" i="30"/>
  <c r="H42" i="30"/>
  <c r="F42" i="30"/>
  <c r="D42" i="30"/>
  <c r="B42" i="30"/>
  <c r="Q41" i="30"/>
  <c r="O41" i="30"/>
  <c r="M41" i="30"/>
  <c r="K41" i="30"/>
  <c r="I41" i="30"/>
  <c r="G41" i="30"/>
  <c r="E41" i="30"/>
  <c r="C41" i="30"/>
  <c r="P40" i="30"/>
  <c r="P44" i="30" s="1"/>
  <c r="P51" i="30" s="1"/>
  <c r="N40" i="30"/>
  <c r="N44" i="30" s="1"/>
  <c r="N51" i="30" s="1"/>
  <c r="L40" i="30"/>
  <c r="L44" i="30" s="1"/>
  <c r="L51" i="30" s="1"/>
  <c r="J40" i="30"/>
  <c r="H40" i="30"/>
  <c r="H44" i="30" s="1"/>
  <c r="H51" i="30" s="1"/>
  <c r="F40" i="30"/>
  <c r="F44" i="30" s="1"/>
  <c r="F51" i="30" s="1"/>
  <c r="D40" i="30"/>
  <c r="D44" i="30" s="1"/>
  <c r="D51" i="30" s="1"/>
  <c r="B40" i="30"/>
  <c r="B44" i="30" s="1"/>
  <c r="B51" i="30" s="1"/>
  <c r="Q39" i="30"/>
  <c r="Q43" i="30" s="1"/>
  <c r="Q50" i="30" s="1"/>
  <c r="O39" i="30"/>
  <c r="O43" i="30" s="1"/>
  <c r="O50" i="30" s="1"/>
  <c r="M39" i="30"/>
  <c r="K39" i="30"/>
  <c r="I39" i="30"/>
  <c r="I43" i="30" s="1"/>
  <c r="I50" i="30" s="1"/>
  <c r="G39" i="30"/>
  <c r="G43" i="30" s="1"/>
  <c r="G50" i="30" s="1"/>
  <c r="E39" i="30"/>
  <c r="E43" i="30" s="1"/>
  <c r="E50" i="30" s="1"/>
  <c r="C39" i="30"/>
  <c r="C43" i="30" s="1"/>
  <c r="C50" i="30" s="1"/>
  <c r="Q33" i="30"/>
  <c r="P33" i="30"/>
  <c r="O33" i="30"/>
  <c r="N33" i="30"/>
  <c r="M33" i="30"/>
  <c r="L33" i="30"/>
  <c r="K33" i="30"/>
  <c r="J33" i="30"/>
  <c r="I33" i="30"/>
  <c r="H33" i="30"/>
  <c r="G33" i="30"/>
  <c r="F33" i="30"/>
  <c r="E33" i="30"/>
  <c r="D33" i="30"/>
  <c r="C33" i="30"/>
  <c r="B33" i="30"/>
  <c r="N28" i="30"/>
  <c r="N53" i="30" s="1"/>
  <c r="N62" i="30" s="1"/>
  <c r="N65" i="30" s="1"/>
  <c r="N67" i="30" s="1"/>
  <c r="N27" i="30"/>
  <c r="G27" i="30"/>
  <c r="G52" i="30" s="1"/>
  <c r="G61" i="30" s="1"/>
  <c r="G64" i="30" s="1"/>
  <c r="G66" i="30" s="1"/>
  <c r="F27" i="30"/>
  <c r="Q23" i="30"/>
  <c r="P23" i="30"/>
  <c r="O23" i="30"/>
  <c r="N23" i="30"/>
  <c r="M23" i="30"/>
  <c r="L23" i="30"/>
  <c r="K23" i="30"/>
  <c r="J23" i="30"/>
  <c r="I23" i="30"/>
  <c r="H23" i="30"/>
  <c r="G23" i="30"/>
  <c r="F23" i="30"/>
  <c r="E23" i="30"/>
  <c r="D23" i="30"/>
  <c r="C23" i="30"/>
  <c r="B23" i="30"/>
  <c r="Q21" i="30"/>
  <c r="Q28" i="30" s="1"/>
  <c r="P21" i="30"/>
  <c r="P28" i="30" s="1"/>
  <c r="P53" i="30" s="1"/>
  <c r="P62" i="30" s="1"/>
  <c r="P65" i="30" s="1"/>
  <c r="P67" i="30" s="1"/>
  <c r="O21" i="30"/>
  <c r="O28" i="30" s="1"/>
  <c r="N21" i="30"/>
  <c r="M21" i="30"/>
  <c r="M28" i="30" s="1"/>
  <c r="L21" i="30"/>
  <c r="L28" i="30" s="1"/>
  <c r="K21" i="30"/>
  <c r="K28" i="30" s="1"/>
  <c r="J21" i="30"/>
  <c r="J28" i="30" s="1"/>
  <c r="J53" i="30" s="1"/>
  <c r="J62" i="30" s="1"/>
  <c r="J65" i="30" s="1"/>
  <c r="J67" i="30" s="1"/>
  <c r="I21" i="30"/>
  <c r="I28" i="30" s="1"/>
  <c r="H21" i="30"/>
  <c r="H28" i="30" s="1"/>
  <c r="H53" i="30" s="1"/>
  <c r="H62" i="30" s="1"/>
  <c r="H65" i="30" s="1"/>
  <c r="H67" i="30" s="1"/>
  <c r="G21" i="30"/>
  <c r="G28" i="30" s="1"/>
  <c r="F21" i="30"/>
  <c r="F28" i="30" s="1"/>
  <c r="F53" i="30" s="1"/>
  <c r="F62" i="30" s="1"/>
  <c r="F65" i="30" s="1"/>
  <c r="F67" i="30" s="1"/>
  <c r="E21" i="30"/>
  <c r="E28" i="30" s="1"/>
  <c r="D21" i="30"/>
  <c r="D28" i="30" s="1"/>
  <c r="C21" i="30"/>
  <c r="C28" i="30" s="1"/>
  <c r="B21" i="30"/>
  <c r="B28" i="30" s="1"/>
  <c r="B53" i="30" s="1"/>
  <c r="B62" i="30" s="1"/>
  <c r="B65" i="30" s="1"/>
  <c r="B67" i="30" s="1"/>
  <c r="J13" i="30"/>
  <c r="P10" i="30"/>
  <c r="P13" i="30" s="1"/>
  <c r="N10" i="30"/>
  <c r="N13" i="30" s="1"/>
  <c r="L10" i="30"/>
  <c r="J10" i="30"/>
  <c r="H10" i="30"/>
  <c r="H13" i="30" s="1"/>
  <c r="F10" i="30"/>
  <c r="F13" i="30" s="1"/>
  <c r="D10" i="30"/>
  <c r="D13" i="30" s="1"/>
  <c r="B10" i="30"/>
  <c r="B13" i="30" s="1"/>
  <c r="Q9" i="30"/>
  <c r="O9" i="30"/>
  <c r="M9" i="30"/>
  <c r="K9" i="30"/>
  <c r="I9" i="30"/>
  <c r="G9" i="30"/>
  <c r="E9" i="30"/>
  <c r="C9" i="30"/>
  <c r="L44" i="14"/>
  <c r="L51" i="14" s="1"/>
  <c r="L53" i="14" s="1"/>
  <c r="L62" i="14" s="1"/>
  <c r="L65" i="14" s="1"/>
  <c r="L67" i="14" s="1"/>
  <c r="J44" i="14"/>
  <c r="J51" i="14" s="1"/>
  <c r="M43" i="14"/>
  <c r="M50" i="14" s="1"/>
  <c r="K43" i="14"/>
  <c r="K50" i="14" s="1"/>
  <c r="P42" i="14"/>
  <c r="N42" i="14"/>
  <c r="L42" i="14"/>
  <c r="J42" i="14"/>
  <c r="H42" i="14"/>
  <c r="F42" i="14"/>
  <c r="D42" i="14"/>
  <c r="B42" i="14"/>
  <c r="Q41" i="14"/>
  <c r="O41" i="14"/>
  <c r="M41" i="14"/>
  <c r="K41" i="14"/>
  <c r="I41" i="14"/>
  <c r="G41" i="14"/>
  <c r="E41" i="14"/>
  <c r="C41" i="14"/>
  <c r="P40" i="14"/>
  <c r="P44" i="14" s="1"/>
  <c r="P51" i="14" s="1"/>
  <c r="N40" i="14"/>
  <c r="N44" i="14" s="1"/>
  <c r="N51" i="14" s="1"/>
  <c r="L40" i="14"/>
  <c r="J40" i="14"/>
  <c r="H40" i="14"/>
  <c r="H44" i="14" s="1"/>
  <c r="H51" i="14" s="1"/>
  <c r="F40" i="14"/>
  <c r="F44" i="14" s="1"/>
  <c r="F51" i="14" s="1"/>
  <c r="D40" i="14"/>
  <c r="D44" i="14" s="1"/>
  <c r="D51" i="14" s="1"/>
  <c r="B40" i="14"/>
  <c r="B44" i="14" s="1"/>
  <c r="B51" i="14" s="1"/>
  <c r="Q39" i="14"/>
  <c r="Q43" i="14" s="1"/>
  <c r="Q50" i="14" s="1"/>
  <c r="O39" i="14"/>
  <c r="O43" i="14" s="1"/>
  <c r="O50" i="14" s="1"/>
  <c r="M39" i="14"/>
  <c r="K39" i="14"/>
  <c r="I39" i="14"/>
  <c r="I43" i="14" s="1"/>
  <c r="I50" i="14" s="1"/>
  <c r="G39" i="14"/>
  <c r="G43" i="14" s="1"/>
  <c r="G50" i="14" s="1"/>
  <c r="E39" i="14"/>
  <c r="E43" i="14" s="1"/>
  <c r="E50" i="14" s="1"/>
  <c r="C39" i="14"/>
  <c r="C43" i="14" s="1"/>
  <c r="C50" i="14" s="1"/>
  <c r="Q33" i="14"/>
  <c r="P33" i="14"/>
  <c r="O33" i="14"/>
  <c r="N33" i="14"/>
  <c r="M33" i="14"/>
  <c r="L33" i="14"/>
  <c r="K33" i="14"/>
  <c r="J33" i="14"/>
  <c r="I33" i="14"/>
  <c r="H33" i="14"/>
  <c r="G33" i="14"/>
  <c r="F33" i="14"/>
  <c r="E33" i="14"/>
  <c r="D33" i="14"/>
  <c r="C33" i="14"/>
  <c r="B33" i="14"/>
  <c r="O28" i="14"/>
  <c r="O27" i="14"/>
  <c r="O52" i="14" s="1"/>
  <c r="O61" i="14" s="1"/>
  <c r="O64" i="14" s="1"/>
  <c r="O66" i="14" s="1"/>
  <c r="N27" i="14"/>
  <c r="G27" i="14"/>
  <c r="F27" i="14"/>
  <c r="Q23" i="14"/>
  <c r="P23" i="14"/>
  <c r="O23" i="14"/>
  <c r="N23" i="14"/>
  <c r="M23" i="14"/>
  <c r="L23" i="14"/>
  <c r="K23" i="14"/>
  <c r="J23" i="14"/>
  <c r="I23" i="14"/>
  <c r="H23" i="14"/>
  <c r="G23" i="14"/>
  <c r="F23" i="14"/>
  <c r="E23" i="14"/>
  <c r="D23" i="14"/>
  <c r="C23" i="14"/>
  <c r="B23" i="14"/>
  <c r="Q21" i="14"/>
  <c r="Q28" i="14" s="1"/>
  <c r="P21" i="14"/>
  <c r="P28" i="14" s="1"/>
  <c r="O21" i="14"/>
  <c r="N21" i="14"/>
  <c r="N28" i="14" s="1"/>
  <c r="N53" i="14" s="1"/>
  <c r="N62" i="14" s="1"/>
  <c r="N65" i="14" s="1"/>
  <c r="N67" i="14" s="1"/>
  <c r="M21" i="14"/>
  <c r="M28" i="14" s="1"/>
  <c r="L21" i="14"/>
  <c r="L28" i="14" s="1"/>
  <c r="K21" i="14"/>
  <c r="K28" i="14" s="1"/>
  <c r="J21" i="14"/>
  <c r="J28" i="14" s="1"/>
  <c r="I21" i="14"/>
  <c r="I28" i="14" s="1"/>
  <c r="H21" i="14"/>
  <c r="H28" i="14" s="1"/>
  <c r="G21" i="14"/>
  <c r="G28" i="14" s="1"/>
  <c r="F21" i="14"/>
  <c r="F28" i="14" s="1"/>
  <c r="F53" i="14" s="1"/>
  <c r="F62" i="14" s="1"/>
  <c r="F65" i="14" s="1"/>
  <c r="F67" i="14" s="1"/>
  <c r="E21" i="14"/>
  <c r="E28" i="14" s="1"/>
  <c r="D21" i="14"/>
  <c r="D28" i="14" s="1"/>
  <c r="D53" i="14" s="1"/>
  <c r="D62" i="14" s="1"/>
  <c r="D65" i="14" s="1"/>
  <c r="D67" i="14" s="1"/>
  <c r="C21" i="14"/>
  <c r="C28" i="14" s="1"/>
  <c r="B21" i="14"/>
  <c r="B28" i="14" s="1"/>
  <c r="B53" i="14" s="1"/>
  <c r="B62" i="14" s="1"/>
  <c r="B65" i="14" s="1"/>
  <c r="B67" i="14" s="1"/>
  <c r="P10" i="14"/>
  <c r="P13" i="14" s="1"/>
  <c r="N10" i="14"/>
  <c r="N13" i="14" s="1"/>
  <c r="L10" i="14"/>
  <c r="L13" i="14" s="1"/>
  <c r="J10" i="14"/>
  <c r="J13" i="14" s="1"/>
  <c r="H10" i="14"/>
  <c r="H13" i="14" s="1"/>
  <c r="F10" i="14"/>
  <c r="F13" i="14" s="1"/>
  <c r="D10" i="14"/>
  <c r="D13" i="14" s="1"/>
  <c r="B10" i="14"/>
  <c r="B13" i="14" s="1"/>
  <c r="Q9" i="14"/>
  <c r="O9" i="14"/>
  <c r="M9" i="14"/>
  <c r="K9" i="14"/>
  <c r="I9" i="14"/>
  <c r="G9" i="14"/>
  <c r="E9" i="14"/>
  <c r="C9" i="14"/>
  <c r="P42" i="31"/>
  <c r="N42" i="31"/>
  <c r="L42" i="31"/>
  <c r="J42" i="31"/>
  <c r="J13" i="31" s="1"/>
  <c r="H42" i="31"/>
  <c r="F42" i="31"/>
  <c r="D42" i="31"/>
  <c r="B42" i="31"/>
  <c r="Q41" i="31"/>
  <c r="O41" i="31"/>
  <c r="M41" i="31"/>
  <c r="K41" i="31"/>
  <c r="I41" i="31"/>
  <c r="G41" i="31"/>
  <c r="E41" i="31"/>
  <c r="C41" i="31"/>
  <c r="P40" i="31"/>
  <c r="P44" i="31" s="1"/>
  <c r="P51" i="31" s="1"/>
  <c r="N40" i="31"/>
  <c r="N44" i="31" s="1"/>
  <c r="N51" i="31" s="1"/>
  <c r="L40" i="31"/>
  <c r="L44" i="31" s="1"/>
  <c r="L51" i="31" s="1"/>
  <c r="J40" i="31"/>
  <c r="J44" i="31" s="1"/>
  <c r="J51" i="31" s="1"/>
  <c r="J53" i="31" s="1"/>
  <c r="J62" i="31" s="1"/>
  <c r="J65" i="31" s="1"/>
  <c r="J67" i="31" s="1"/>
  <c r="H40" i="31"/>
  <c r="H44" i="31" s="1"/>
  <c r="H51" i="31" s="1"/>
  <c r="F40" i="31"/>
  <c r="F44" i="31" s="1"/>
  <c r="F51" i="31" s="1"/>
  <c r="D40" i="31"/>
  <c r="D44" i="31" s="1"/>
  <c r="D51" i="31" s="1"/>
  <c r="B40" i="31"/>
  <c r="B44" i="31" s="1"/>
  <c r="B51" i="31" s="1"/>
  <c r="Q39" i="31"/>
  <c r="Q43" i="31" s="1"/>
  <c r="Q50" i="31" s="1"/>
  <c r="O39" i="31"/>
  <c r="O43" i="31" s="1"/>
  <c r="O50" i="31" s="1"/>
  <c r="M39" i="31"/>
  <c r="M43" i="31" s="1"/>
  <c r="M50" i="31" s="1"/>
  <c r="K39" i="31"/>
  <c r="K43" i="31" s="1"/>
  <c r="K50" i="31" s="1"/>
  <c r="I39" i="31"/>
  <c r="I43" i="31" s="1"/>
  <c r="I50" i="31" s="1"/>
  <c r="G39" i="31"/>
  <c r="G43" i="31" s="1"/>
  <c r="G50" i="31" s="1"/>
  <c r="E39" i="31"/>
  <c r="E43" i="31" s="1"/>
  <c r="E50" i="31" s="1"/>
  <c r="C39" i="31"/>
  <c r="C43" i="31" s="1"/>
  <c r="C50" i="31" s="1"/>
  <c r="Q33" i="31"/>
  <c r="P33" i="31"/>
  <c r="O33" i="31"/>
  <c r="N33" i="31"/>
  <c r="M33" i="31"/>
  <c r="L33" i="31"/>
  <c r="K33" i="31"/>
  <c r="J33" i="31"/>
  <c r="I33" i="31"/>
  <c r="H33" i="31"/>
  <c r="G33" i="31"/>
  <c r="F33" i="31"/>
  <c r="E33" i="31"/>
  <c r="D33" i="31"/>
  <c r="C33" i="31"/>
  <c r="B33" i="31"/>
  <c r="Q23" i="31"/>
  <c r="P23" i="31"/>
  <c r="O23" i="31"/>
  <c r="N23" i="31"/>
  <c r="M23" i="31"/>
  <c r="L23" i="31"/>
  <c r="K23" i="31"/>
  <c r="J23" i="31"/>
  <c r="I23" i="31"/>
  <c r="H23" i="31"/>
  <c r="G23" i="31"/>
  <c r="F23" i="31"/>
  <c r="E23" i="31"/>
  <c r="D23" i="31"/>
  <c r="C23" i="31"/>
  <c r="B23" i="31"/>
  <c r="Q21" i="31"/>
  <c r="Q28" i="31" s="1"/>
  <c r="P21" i="31"/>
  <c r="P28" i="31" s="1"/>
  <c r="P53" i="31" s="1"/>
  <c r="P62" i="31" s="1"/>
  <c r="P65" i="31" s="1"/>
  <c r="P67" i="31" s="1"/>
  <c r="O21" i="31"/>
  <c r="O27" i="31" s="1"/>
  <c r="O52" i="31" s="1"/>
  <c r="O61" i="31" s="1"/>
  <c r="O64" i="31" s="1"/>
  <c r="O66" i="31" s="1"/>
  <c r="N21" i="31"/>
  <c r="N27" i="31" s="1"/>
  <c r="M21" i="31"/>
  <c r="M28" i="31" s="1"/>
  <c r="L21" i="31"/>
  <c r="L28" i="31" s="1"/>
  <c r="L53" i="31" s="1"/>
  <c r="L62" i="31" s="1"/>
  <c r="L65" i="31" s="1"/>
  <c r="L67" i="31" s="1"/>
  <c r="K21" i="31"/>
  <c r="K28" i="31" s="1"/>
  <c r="J21" i="31"/>
  <c r="J28" i="31" s="1"/>
  <c r="I21" i="31"/>
  <c r="I28" i="31" s="1"/>
  <c r="H21" i="31"/>
  <c r="H28" i="31" s="1"/>
  <c r="H53" i="31" s="1"/>
  <c r="H62" i="31" s="1"/>
  <c r="H65" i="31" s="1"/>
  <c r="H67" i="31" s="1"/>
  <c r="G21" i="31"/>
  <c r="G28" i="31" s="1"/>
  <c r="F21" i="31"/>
  <c r="F28" i="31" s="1"/>
  <c r="F53" i="31" s="1"/>
  <c r="F62" i="31" s="1"/>
  <c r="F65" i="31" s="1"/>
  <c r="F67" i="31" s="1"/>
  <c r="E21" i="31"/>
  <c r="E28" i="31" s="1"/>
  <c r="D21" i="31"/>
  <c r="D28" i="31" s="1"/>
  <c r="D53" i="31" s="1"/>
  <c r="D62" i="31" s="1"/>
  <c r="D65" i="31" s="1"/>
  <c r="D67" i="31" s="1"/>
  <c r="C21" i="31"/>
  <c r="B21" i="31"/>
  <c r="B28" i="31" s="1"/>
  <c r="B53" i="31" s="1"/>
  <c r="B62" i="31" s="1"/>
  <c r="B65" i="31" s="1"/>
  <c r="B67" i="31" s="1"/>
  <c r="D13" i="31"/>
  <c r="P10" i="31"/>
  <c r="P13" i="31" s="1"/>
  <c r="N10" i="31"/>
  <c r="N13" i="31" s="1"/>
  <c r="L10" i="31"/>
  <c r="L13" i="31" s="1"/>
  <c r="J10" i="31"/>
  <c r="H10" i="31"/>
  <c r="H13" i="31" s="1"/>
  <c r="F10" i="31"/>
  <c r="F13" i="31" s="1"/>
  <c r="D10" i="31"/>
  <c r="B10" i="31"/>
  <c r="B13" i="31" s="1"/>
  <c r="Q9" i="31"/>
  <c r="O9" i="31"/>
  <c r="M9" i="31"/>
  <c r="K9" i="31"/>
  <c r="I9" i="31"/>
  <c r="G9" i="31"/>
  <c r="E9" i="31"/>
  <c r="C9" i="31"/>
  <c r="B62" i="6"/>
  <c r="B65" i="6" s="1"/>
  <c r="B67" i="6" s="1"/>
  <c r="I59" i="6"/>
  <c r="H59" i="6"/>
  <c r="E59" i="6"/>
  <c r="D59" i="6"/>
  <c r="H42" i="6"/>
  <c r="F42" i="6"/>
  <c r="D42" i="6"/>
  <c r="B42" i="6"/>
  <c r="I41" i="6"/>
  <c r="G41" i="6"/>
  <c r="E41" i="6"/>
  <c r="C41" i="6"/>
  <c r="H40" i="6"/>
  <c r="H44" i="6" s="1"/>
  <c r="H51" i="6" s="1"/>
  <c r="F40" i="6"/>
  <c r="F44" i="6" s="1"/>
  <c r="F51" i="6" s="1"/>
  <c r="D40" i="6"/>
  <c r="D44" i="6" s="1"/>
  <c r="D51" i="6" s="1"/>
  <c r="B40" i="6"/>
  <c r="B44" i="6" s="1"/>
  <c r="B51" i="6" s="1"/>
  <c r="I39" i="6"/>
  <c r="I43" i="6" s="1"/>
  <c r="I50" i="6" s="1"/>
  <c r="G39" i="6"/>
  <c r="G43" i="6" s="1"/>
  <c r="G50" i="6" s="1"/>
  <c r="E39" i="6"/>
  <c r="E43" i="6" s="1"/>
  <c r="E50" i="6" s="1"/>
  <c r="C39" i="6"/>
  <c r="C43" i="6" s="1"/>
  <c r="C50" i="6" s="1"/>
  <c r="I33" i="6"/>
  <c r="H33" i="6"/>
  <c r="G33" i="6"/>
  <c r="F33" i="6"/>
  <c r="E33" i="6"/>
  <c r="D33" i="6"/>
  <c r="C33" i="6"/>
  <c r="B33" i="6"/>
  <c r="C28" i="6"/>
  <c r="B28" i="6"/>
  <c r="B53" i="6" s="1"/>
  <c r="F27" i="6"/>
  <c r="I23" i="6"/>
  <c r="H23" i="6"/>
  <c r="G23" i="6"/>
  <c r="F23" i="6"/>
  <c r="E23" i="6"/>
  <c r="D23" i="6"/>
  <c r="C23" i="6"/>
  <c r="B23" i="6"/>
  <c r="I21" i="6"/>
  <c r="H21" i="6"/>
  <c r="H28" i="6" s="1"/>
  <c r="H53" i="6" s="1"/>
  <c r="H62" i="6" s="1"/>
  <c r="H65" i="6" s="1"/>
  <c r="H67" i="6" s="1"/>
  <c r="G21" i="6"/>
  <c r="G27" i="6" s="1"/>
  <c r="G52" i="6" s="1"/>
  <c r="G61" i="6" s="1"/>
  <c r="G64" i="6" s="1"/>
  <c r="G66" i="6" s="1"/>
  <c r="F21" i="6"/>
  <c r="F28" i="6" s="1"/>
  <c r="E21" i="6"/>
  <c r="D21" i="6"/>
  <c r="C21" i="6"/>
  <c r="C27" i="6" s="1"/>
  <c r="B21" i="6"/>
  <c r="B27" i="6" s="1"/>
  <c r="F13" i="6"/>
  <c r="D13" i="6"/>
  <c r="B13" i="6"/>
  <c r="H10" i="6"/>
  <c r="H13" i="6" s="1"/>
  <c r="F10" i="6"/>
  <c r="D10" i="6"/>
  <c r="B10" i="6"/>
  <c r="I9" i="6"/>
  <c r="G9" i="6"/>
  <c r="E9" i="6"/>
  <c r="C9" i="6"/>
  <c r="H57" i="13"/>
  <c r="D57" i="13"/>
  <c r="I56" i="13"/>
  <c r="E56" i="13"/>
  <c r="P42" i="13"/>
  <c r="N42" i="13"/>
  <c r="L42" i="13"/>
  <c r="J42" i="13"/>
  <c r="H42" i="13"/>
  <c r="F42" i="13"/>
  <c r="D42" i="13"/>
  <c r="B42" i="13"/>
  <c r="Q41" i="13"/>
  <c r="O41" i="13"/>
  <c r="M41" i="13"/>
  <c r="K41" i="13"/>
  <c r="I41" i="13"/>
  <c r="G41" i="13"/>
  <c r="E41" i="13"/>
  <c r="C41" i="13"/>
  <c r="P40" i="13"/>
  <c r="P44" i="13" s="1"/>
  <c r="P51" i="13" s="1"/>
  <c r="N40" i="13"/>
  <c r="N44" i="13" s="1"/>
  <c r="N51" i="13" s="1"/>
  <c r="L40" i="13"/>
  <c r="L44" i="13" s="1"/>
  <c r="L51" i="13" s="1"/>
  <c r="J40" i="13"/>
  <c r="J44" i="13" s="1"/>
  <c r="J51" i="13" s="1"/>
  <c r="H40" i="13"/>
  <c r="H44" i="13" s="1"/>
  <c r="H51" i="13" s="1"/>
  <c r="F40" i="13"/>
  <c r="F44" i="13" s="1"/>
  <c r="F51" i="13" s="1"/>
  <c r="D40" i="13"/>
  <c r="D44" i="13" s="1"/>
  <c r="D51" i="13" s="1"/>
  <c r="B40" i="13"/>
  <c r="B44" i="13" s="1"/>
  <c r="B51" i="13" s="1"/>
  <c r="Q39" i="13"/>
  <c r="Q43" i="13" s="1"/>
  <c r="Q50" i="13" s="1"/>
  <c r="O39" i="13"/>
  <c r="O43" i="13" s="1"/>
  <c r="O50" i="13" s="1"/>
  <c r="M39" i="13"/>
  <c r="M43" i="13" s="1"/>
  <c r="M50" i="13" s="1"/>
  <c r="K39" i="13"/>
  <c r="K43" i="13" s="1"/>
  <c r="K50" i="13" s="1"/>
  <c r="I39" i="13"/>
  <c r="I43" i="13" s="1"/>
  <c r="I50" i="13" s="1"/>
  <c r="G39" i="13"/>
  <c r="G43" i="13" s="1"/>
  <c r="G50" i="13" s="1"/>
  <c r="E39" i="13"/>
  <c r="E43" i="13" s="1"/>
  <c r="E50" i="13" s="1"/>
  <c r="C39" i="13"/>
  <c r="C43" i="13" s="1"/>
  <c r="C50" i="13" s="1"/>
  <c r="Q33" i="13"/>
  <c r="P33" i="13"/>
  <c r="O33" i="13"/>
  <c r="N33" i="13"/>
  <c r="M33" i="13"/>
  <c r="L33" i="13"/>
  <c r="K33" i="13"/>
  <c r="J33" i="13"/>
  <c r="I33" i="13"/>
  <c r="H33" i="13"/>
  <c r="G33" i="13"/>
  <c r="F33" i="13"/>
  <c r="E33" i="13"/>
  <c r="D33" i="13"/>
  <c r="C33" i="13"/>
  <c r="B33" i="13"/>
  <c r="Q23" i="13"/>
  <c r="P23" i="13"/>
  <c r="O23" i="13"/>
  <c r="N23" i="13"/>
  <c r="M23" i="13"/>
  <c r="L23" i="13"/>
  <c r="K23" i="13"/>
  <c r="J23" i="13"/>
  <c r="I23" i="13"/>
  <c r="H23" i="13"/>
  <c r="G23" i="13"/>
  <c r="F23" i="13"/>
  <c r="E23" i="13"/>
  <c r="D23" i="13"/>
  <c r="C23" i="13"/>
  <c r="B23" i="13"/>
  <c r="Q21" i="13"/>
  <c r="Q28" i="13" s="1"/>
  <c r="P21" i="13"/>
  <c r="P28" i="13" s="1"/>
  <c r="O21" i="13"/>
  <c r="O28" i="13" s="1"/>
  <c r="N21" i="13"/>
  <c r="N28" i="13" s="1"/>
  <c r="N53" i="13" s="1"/>
  <c r="N62" i="13" s="1"/>
  <c r="N65" i="13" s="1"/>
  <c r="N67" i="13" s="1"/>
  <c r="M21" i="13"/>
  <c r="M28" i="13" s="1"/>
  <c r="L21" i="13"/>
  <c r="L28" i="13" s="1"/>
  <c r="L53" i="13" s="1"/>
  <c r="L62" i="13" s="1"/>
  <c r="L65" i="13" s="1"/>
  <c r="L67" i="13" s="1"/>
  <c r="K21" i="13"/>
  <c r="K28" i="13" s="1"/>
  <c r="J21" i="13"/>
  <c r="J28" i="13" s="1"/>
  <c r="I21" i="13"/>
  <c r="I28" i="13" s="1"/>
  <c r="H21" i="13"/>
  <c r="H27" i="13" s="1"/>
  <c r="G21" i="13"/>
  <c r="G28" i="13" s="1"/>
  <c r="F21" i="13"/>
  <c r="F28" i="13" s="1"/>
  <c r="F53" i="13" s="1"/>
  <c r="F62" i="13" s="1"/>
  <c r="F65" i="13" s="1"/>
  <c r="F67" i="13" s="1"/>
  <c r="E21" i="13"/>
  <c r="E28" i="13" s="1"/>
  <c r="D21" i="13"/>
  <c r="D28" i="13" s="1"/>
  <c r="D53" i="13" s="1"/>
  <c r="D62" i="13" s="1"/>
  <c r="D65" i="13" s="1"/>
  <c r="D67" i="13" s="1"/>
  <c r="C21" i="13"/>
  <c r="C28" i="13" s="1"/>
  <c r="B21" i="13"/>
  <c r="B28" i="13" s="1"/>
  <c r="B53" i="13" s="1"/>
  <c r="B62" i="13" s="1"/>
  <c r="B65" i="13" s="1"/>
  <c r="B67" i="13" s="1"/>
  <c r="P10" i="13"/>
  <c r="P13" i="13" s="1"/>
  <c r="N10" i="13"/>
  <c r="N13" i="13" s="1"/>
  <c r="L10" i="13"/>
  <c r="L13" i="13" s="1"/>
  <c r="J10" i="13"/>
  <c r="J13" i="13" s="1"/>
  <c r="H10" i="13"/>
  <c r="H13" i="13" s="1"/>
  <c r="F10" i="13"/>
  <c r="F13" i="13" s="1"/>
  <c r="D10" i="13"/>
  <c r="D13" i="13" s="1"/>
  <c r="B10" i="13"/>
  <c r="B13" i="13" s="1"/>
  <c r="Q9" i="13"/>
  <c r="O9" i="13"/>
  <c r="M9" i="13"/>
  <c r="K9" i="13"/>
  <c r="I9" i="13"/>
  <c r="G9" i="13"/>
  <c r="E9" i="13"/>
  <c r="C9" i="13"/>
  <c r="H42" i="12"/>
  <c r="F42" i="12"/>
  <c r="D42" i="12"/>
  <c r="B42" i="12"/>
  <c r="I41" i="12"/>
  <c r="G41" i="12"/>
  <c r="E41" i="12"/>
  <c r="C41" i="12"/>
  <c r="H40" i="12"/>
  <c r="H44" i="12" s="1"/>
  <c r="H51" i="12" s="1"/>
  <c r="F40" i="12"/>
  <c r="F44" i="12" s="1"/>
  <c r="F51" i="12" s="1"/>
  <c r="D40" i="12"/>
  <c r="D44" i="12" s="1"/>
  <c r="D51" i="12" s="1"/>
  <c r="B40" i="12"/>
  <c r="B44" i="12" s="1"/>
  <c r="B51" i="12" s="1"/>
  <c r="I39" i="12"/>
  <c r="I43" i="12" s="1"/>
  <c r="I50" i="12" s="1"/>
  <c r="G39" i="12"/>
  <c r="G43" i="12" s="1"/>
  <c r="G50" i="12" s="1"/>
  <c r="E39" i="12"/>
  <c r="E43" i="12" s="1"/>
  <c r="E50" i="12" s="1"/>
  <c r="C39" i="12"/>
  <c r="C43" i="12" s="1"/>
  <c r="C50" i="12" s="1"/>
  <c r="I33" i="12"/>
  <c r="H33" i="12"/>
  <c r="G33" i="12"/>
  <c r="F33" i="12"/>
  <c r="E33" i="12"/>
  <c r="D33" i="12"/>
  <c r="C33" i="12"/>
  <c r="B33" i="12"/>
  <c r="I23" i="12"/>
  <c r="H23" i="12"/>
  <c r="G23" i="12"/>
  <c r="F23" i="12"/>
  <c r="E23" i="12"/>
  <c r="D23" i="12"/>
  <c r="C23" i="12"/>
  <c r="B23" i="12"/>
  <c r="I21" i="12"/>
  <c r="I28" i="12" s="1"/>
  <c r="H21" i="12"/>
  <c r="H28" i="12" s="1"/>
  <c r="G21" i="12"/>
  <c r="G28" i="12" s="1"/>
  <c r="F21" i="12"/>
  <c r="F28" i="12" s="1"/>
  <c r="F53" i="12" s="1"/>
  <c r="F62" i="12" s="1"/>
  <c r="F65" i="12" s="1"/>
  <c r="F67" i="12" s="1"/>
  <c r="E21" i="12"/>
  <c r="E28" i="12" s="1"/>
  <c r="D21" i="12"/>
  <c r="D28" i="12" s="1"/>
  <c r="D53" i="12" s="1"/>
  <c r="D62" i="12" s="1"/>
  <c r="D65" i="12" s="1"/>
  <c r="D67" i="12" s="1"/>
  <c r="C21" i="12"/>
  <c r="C28" i="12" s="1"/>
  <c r="B21" i="12"/>
  <c r="B28" i="12" s="1"/>
  <c r="F13" i="12"/>
  <c r="D13" i="12"/>
  <c r="B13" i="12"/>
  <c r="H10" i="12"/>
  <c r="H13" i="12" s="1"/>
  <c r="F10" i="12"/>
  <c r="D10" i="12"/>
  <c r="B10" i="12"/>
  <c r="I9" i="12"/>
  <c r="G9" i="12"/>
  <c r="E9" i="12"/>
  <c r="C9" i="12"/>
  <c r="L53" i="30" l="1"/>
  <c r="L62" i="30" s="1"/>
  <c r="L65" i="30" s="1"/>
  <c r="L67" i="30" s="1"/>
  <c r="H53" i="12"/>
  <c r="H62" i="12" s="1"/>
  <c r="H65" i="12" s="1"/>
  <c r="H67" i="12" s="1"/>
  <c r="P53" i="13"/>
  <c r="P62" i="13" s="1"/>
  <c r="P65" i="13" s="1"/>
  <c r="P67" i="13" s="1"/>
  <c r="B53" i="12"/>
  <c r="B62" i="12" s="1"/>
  <c r="B65" i="12" s="1"/>
  <c r="B67" i="12" s="1"/>
  <c r="J53" i="13"/>
  <c r="J62" i="13" s="1"/>
  <c r="J65" i="13" s="1"/>
  <c r="J67" i="13" s="1"/>
  <c r="C52" i="6"/>
  <c r="C61" i="6" s="1"/>
  <c r="C64" i="6" s="1"/>
  <c r="C66" i="6" s="1"/>
  <c r="J53" i="14"/>
  <c r="J62" i="14" s="1"/>
  <c r="J65" i="14" s="1"/>
  <c r="J67" i="14" s="1"/>
  <c r="D53" i="27"/>
  <c r="D63" i="27" s="1"/>
  <c r="D66" i="27" s="1"/>
  <c r="D68" i="27" s="1"/>
  <c r="H28" i="13"/>
  <c r="H53" i="13" s="1"/>
  <c r="H62" i="13" s="1"/>
  <c r="H65" i="13" s="1"/>
  <c r="H67" i="13" s="1"/>
  <c r="I27" i="12"/>
  <c r="I52" i="12" s="1"/>
  <c r="I61" i="12" s="1"/>
  <c r="I64" i="12" s="1"/>
  <c r="I66" i="12" s="1"/>
  <c r="I27" i="13"/>
  <c r="I52" i="13" s="1"/>
  <c r="I61" i="13" s="1"/>
  <c r="I64" i="13" s="1"/>
  <c r="I66" i="13" s="1"/>
  <c r="D53" i="30"/>
  <c r="D62" i="30" s="1"/>
  <c r="D65" i="30" s="1"/>
  <c r="D67" i="30" s="1"/>
  <c r="B27" i="12"/>
  <c r="B27" i="13"/>
  <c r="J27" i="13"/>
  <c r="O28" i="31"/>
  <c r="O27" i="30"/>
  <c r="O52" i="30" s="1"/>
  <c r="O61" i="30" s="1"/>
  <c r="O64" i="30" s="1"/>
  <c r="O66" i="30" s="1"/>
  <c r="M27" i="29"/>
  <c r="M52" i="29" s="1"/>
  <c r="M61" i="29" s="1"/>
  <c r="M65" i="29" s="1"/>
  <c r="M67" i="29" s="1"/>
  <c r="K28" i="29"/>
  <c r="K27" i="29"/>
  <c r="K52" i="29" s="1"/>
  <c r="K61" i="29" s="1"/>
  <c r="K65" i="29" s="1"/>
  <c r="K67" i="29" s="1"/>
  <c r="I27" i="29"/>
  <c r="I52" i="29" s="1"/>
  <c r="I61" i="29" s="1"/>
  <c r="I65" i="29" s="1"/>
  <c r="I67" i="29" s="1"/>
  <c r="H27" i="12"/>
  <c r="Q27" i="13"/>
  <c r="Q52" i="13" s="1"/>
  <c r="Q61" i="13" s="1"/>
  <c r="Q64" i="13" s="1"/>
  <c r="Q66" i="13" s="1"/>
  <c r="I28" i="6"/>
  <c r="I27" i="6"/>
  <c r="I52" i="6" s="1"/>
  <c r="I61" i="6" s="1"/>
  <c r="I64" i="6" s="1"/>
  <c r="I66" i="6" s="1"/>
  <c r="G28" i="6"/>
  <c r="N28" i="31"/>
  <c r="N53" i="31" s="1"/>
  <c r="N62" i="31" s="1"/>
  <c r="N65" i="31" s="1"/>
  <c r="N67" i="31" s="1"/>
  <c r="J28" i="29"/>
  <c r="J53" i="29" s="1"/>
  <c r="J62" i="29" s="1"/>
  <c r="J66" i="29" s="1"/>
  <c r="J68" i="29" s="1"/>
  <c r="J27" i="29"/>
  <c r="C27" i="12"/>
  <c r="C52" i="12" s="1"/>
  <c r="C61" i="12" s="1"/>
  <c r="C64" i="12" s="1"/>
  <c r="C66" i="12" s="1"/>
  <c r="C27" i="13"/>
  <c r="C52" i="13" s="1"/>
  <c r="C61" i="13" s="1"/>
  <c r="C64" i="13" s="1"/>
  <c r="C66" i="13" s="1"/>
  <c r="K27" i="13"/>
  <c r="K52" i="13" s="1"/>
  <c r="K61" i="13" s="1"/>
  <c r="K64" i="13" s="1"/>
  <c r="K66" i="13" s="1"/>
  <c r="F27" i="31"/>
  <c r="H53" i="14"/>
  <c r="H62" i="14" s="1"/>
  <c r="H65" i="14" s="1"/>
  <c r="H67" i="14" s="1"/>
  <c r="P53" i="14"/>
  <c r="P62" i="14" s="1"/>
  <c r="P65" i="14" s="1"/>
  <c r="P67" i="14" s="1"/>
  <c r="B28" i="29"/>
  <c r="B53" i="29" s="1"/>
  <c r="B62" i="29" s="1"/>
  <c r="B66" i="29" s="1"/>
  <c r="B68" i="29" s="1"/>
  <c r="B27" i="29"/>
  <c r="H27" i="27"/>
  <c r="B44" i="27"/>
  <c r="B51" i="27" s="1"/>
  <c r="B53" i="27" s="1"/>
  <c r="B63" i="27" s="1"/>
  <c r="B66" i="27" s="1"/>
  <c r="B68" i="27" s="1"/>
  <c r="G27" i="12"/>
  <c r="G52" i="12" s="1"/>
  <c r="G61" i="12" s="1"/>
  <c r="G64" i="12" s="1"/>
  <c r="G66" i="12" s="1"/>
  <c r="D27" i="12"/>
  <c r="D27" i="13"/>
  <c r="L27" i="13"/>
  <c r="D28" i="6"/>
  <c r="D53" i="6" s="1"/>
  <c r="D62" i="6" s="1"/>
  <c r="D65" i="6" s="1"/>
  <c r="D67" i="6" s="1"/>
  <c r="D27" i="6"/>
  <c r="C28" i="31"/>
  <c r="C27" i="31"/>
  <c r="C52" i="31" s="1"/>
  <c r="C61" i="31" s="1"/>
  <c r="C64" i="31" s="1"/>
  <c r="C66" i="31" s="1"/>
  <c r="G27" i="31"/>
  <c r="G52" i="31" s="1"/>
  <c r="G61" i="31" s="1"/>
  <c r="G64" i="31" s="1"/>
  <c r="G66" i="31" s="1"/>
  <c r="C28" i="29"/>
  <c r="C27" i="29"/>
  <c r="C52" i="29" s="1"/>
  <c r="C61" i="29" s="1"/>
  <c r="C65" i="29" s="1"/>
  <c r="C67" i="29" s="1"/>
  <c r="E28" i="29"/>
  <c r="K53" i="27"/>
  <c r="K63" i="27" s="1"/>
  <c r="K66" i="27" s="1"/>
  <c r="K68" i="27" s="1"/>
  <c r="I52" i="27"/>
  <c r="I62" i="27" s="1"/>
  <c r="I65" i="27" s="1"/>
  <c r="I67" i="27" s="1"/>
  <c r="D44" i="27"/>
  <c r="D51" i="27" s="1"/>
  <c r="E27" i="12"/>
  <c r="E52" i="12" s="1"/>
  <c r="E61" i="12" s="1"/>
  <c r="E64" i="12" s="1"/>
  <c r="E66" i="12" s="1"/>
  <c r="E27" i="13"/>
  <c r="E52" i="13" s="1"/>
  <c r="E61" i="13" s="1"/>
  <c r="E64" i="13" s="1"/>
  <c r="E66" i="13" s="1"/>
  <c r="L28" i="29"/>
  <c r="L53" i="29" s="1"/>
  <c r="L62" i="29" s="1"/>
  <c r="L66" i="29" s="1"/>
  <c r="L68" i="29" s="1"/>
  <c r="D27" i="27"/>
  <c r="L27" i="27"/>
  <c r="L52" i="27" s="1"/>
  <c r="L62" i="27" s="1"/>
  <c r="L65" i="27" s="1"/>
  <c r="L67" i="27" s="1"/>
  <c r="M27" i="13"/>
  <c r="M52" i="13" s="1"/>
  <c r="M61" i="13" s="1"/>
  <c r="M64" i="13" s="1"/>
  <c r="M66" i="13" s="1"/>
  <c r="E28" i="6"/>
  <c r="E27" i="6"/>
  <c r="E52" i="6" s="1"/>
  <c r="E61" i="6" s="1"/>
  <c r="E64" i="6" s="1"/>
  <c r="E66" i="6" s="1"/>
  <c r="F27" i="12"/>
  <c r="F27" i="13"/>
  <c r="N27" i="13"/>
  <c r="F53" i="6"/>
  <c r="F62" i="6" s="1"/>
  <c r="F65" i="6" s="1"/>
  <c r="F67" i="6" s="1"/>
  <c r="H27" i="6"/>
  <c r="G52" i="14"/>
  <c r="G61" i="14" s="1"/>
  <c r="G64" i="14" s="1"/>
  <c r="G66" i="14" s="1"/>
  <c r="E27" i="27"/>
  <c r="E52" i="27" s="1"/>
  <c r="E62" i="27" s="1"/>
  <c r="E65" i="27" s="1"/>
  <c r="E67" i="27" s="1"/>
  <c r="M27" i="27"/>
  <c r="G27" i="13"/>
  <c r="G52" i="13" s="1"/>
  <c r="G61" i="13" s="1"/>
  <c r="G64" i="13" s="1"/>
  <c r="G66" i="13" s="1"/>
  <c r="O27" i="13"/>
  <c r="O52" i="13" s="1"/>
  <c r="O61" i="13" s="1"/>
  <c r="O64" i="13" s="1"/>
  <c r="O66" i="13" s="1"/>
  <c r="P27" i="13"/>
  <c r="G52" i="27"/>
  <c r="G62" i="27" s="1"/>
  <c r="G65" i="27" s="1"/>
  <c r="G67" i="27" s="1"/>
  <c r="M53" i="27"/>
  <c r="M63" i="27" s="1"/>
  <c r="M66" i="27" s="1"/>
  <c r="M68" i="27" s="1"/>
  <c r="H27" i="31"/>
  <c r="P27" i="31"/>
  <c r="H27" i="14"/>
  <c r="P27" i="14"/>
  <c r="H27" i="30"/>
  <c r="P27" i="30"/>
  <c r="F28" i="29"/>
  <c r="F53" i="29" s="1"/>
  <c r="F62" i="29" s="1"/>
  <c r="F66" i="29" s="1"/>
  <c r="F68" i="29" s="1"/>
  <c r="B27" i="27"/>
  <c r="J27" i="27"/>
  <c r="J52" i="27" s="1"/>
  <c r="J62" i="27" s="1"/>
  <c r="J65" i="27" s="1"/>
  <c r="J67" i="27" s="1"/>
  <c r="F28" i="27"/>
  <c r="F53" i="27" s="1"/>
  <c r="F63" i="27" s="1"/>
  <c r="F66" i="27" s="1"/>
  <c r="F68" i="27" s="1"/>
  <c r="I27" i="31"/>
  <c r="I52" i="31" s="1"/>
  <c r="I61" i="31" s="1"/>
  <c r="I64" i="31" s="1"/>
  <c r="I66" i="31" s="1"/>
  <c r="Q27" i="31"/>
  <c r="Q52" i="31" s="1"/>
  <c r="Q61" i="31" s="1"/>
  <c r="Q64" i="31" s="1"/>
  <c r="Q66" i="31" s="1"/>
  <c r="I27" i="14"/>
  <c r="I52" i="14" s="1"/>
  <c r="I61" i="14" s="1"/>
  <c r="I64" i="14" s="1"/>
  <c r="I66" i="14" s="1"/>
  <c r="Q27" i="14"/>
  <c r="Q52" i="14" s="1"/>
  <c r="Q61" i="14" s="1"/>
  <c r="Q64" i="14" s="1"/>
  <c r="Q66" i="14" s="1"/>
  <c r="I27" i="30"/>
  <c r="I52" i="30" s="1"/>
  <c r="I61" i="30" s="1"/>
  <c r="I64" i="30" s="1"/>
  <c r="I66" i="30" s="1"/>
  <c r="Q27" i="30"/>
  <c r="Q52" i="30" s="1"/>
  <c r="Q61" i="30" s="1"/>
  <c r="Q64" i="30" s="1"/>
  <c r="Q66" i="30" s="1"/>
  <c r="G28" i="29"/>
  <c r="C27" i="27"/>
  <c r="C52" i="27" s="1"/>
  <c r="C62" i="27" s="1"/>
  <c r="C65" i="27" s="1"/>
  <c r="C67" i="27" s="1"/>
  <c r="K27" i="27"/>
  <c r="G28" i="27"/>
  <c r="B27" i="31"/>
  <c r="J27" i="31"/>
  <c r="B27" i="14"/>
  <c r="J27" i="14"/>
  <c r="B27" i="30"/>
  <c r="J27" i="30"/>
  <c r="K27" i="31"/>
  <c r="K52" i="31" s="1"/>
  <c r="K61" i="31" s="1"/>
  <c r="K64" i="31" s="1"/>
  <c r="K66" i="31" s="1"/>
  <c r="C27" i="14"/>
  <c r="C52" i="14" s="1"/>
  <c r="C61" i="14" s="1"/>
  <c r="C64" i="14" s="1"/>
  <c r="C66" i="14" s="1"/>
  <c r="K27" i="14"/>
  <c r="K52" i="14" s="1"/>
  <c r="K61" i="14" s="1"/>
  <c r="K64" i="14" s="1"/>
  <c r="K66" i="14" s="1"/>
  <c r="C27" i="30"/>
  <c r="C52" i="30" s="1"/>
  <c r="C61" i="30" s="1"/>
  <c r="C64" i="30" s="1"/>
  <c r="C66" i="30" s="1"/>
  <c r="K27" i="30"/>
  <c r="K52" i="30" s="1"/>
  <c r="K61" i="30" s="1"/>
  <c r="K64" i="30" s="1"/>
  <c r="K66" i="30" s="1"/>
  <c r="D27" i="31"/>
  <c r="L27" i="31"/>
  <c r="D27" i="14"/>
  <c r="L27" i="14"/>
  <c r="D27" i="30"/>
  <c r="L27" i="30"/>
  <c r="E27" i="31"/>
  <c r="E52" i="31" s="1"/>
  <c r="E61" i="31" s="1"/>
  <c r="E64" i="31" s="1"/>
  <c r="E66" i="31" s="1"/>
  <c r="M27" i="31"/>
  <c r="M52" i="31" s="1"/>
  <c r="M61" i="31" s="1"/>
  <c r="M64" i="31" s="1"/>
  <c r="M66" i="31" s="1"/>
  <c r="E27" i="14"/>
  <c r="E52" i="14" s="1"/>
  <c r="E61" i="14" s="1"/>
  <c r="E64" i="14" s="1"/>
  <c r="E66" i="14" s="1"/>
  <c r="M27" i="14"/>
  <c r="M52" i="14" s="1"/>
  <c r="M61" i="14" s="1"/>
  <c r="M64" i="14" s="1"/>
  <c r="M66" i="14" s="1"/>
  <c r="E27" i="30"/>
  <c r="E52" i="30" s="1"/>
  <c r="E61" i="30" s="1"/>
  <c r="E64" i="30" s="1"/>
  <c r="E66" i="30" s="1"/>
  <c r="M27" i="30"/>
  <c r="M52" i="30" s="1"/>
  <c r="M61" i="30" s="1"/>
  <c r="M64" i="30" s="1"/>
  <c r="M66" i="30" s="1"/>
</calcChain>
</file>

<file path=xl/sharedStrings.xml><?xml version="1.0" encoding="utf-8"?>
<sst xmlns="http://schemas.openxmlformats.org/spreadsheetml/2006/main" count="2425" uniqueCount="251">
  <si>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</si>
  <si>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</si>
  <si>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</si>
  <si>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</si>
  <si>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</si>
  <si>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</si>
  <si>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</si>
  <si>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</si>
  <si>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</si>
  <si>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</si>
  <si>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</si>
  <si>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</si>
  <si>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</si>
  <si>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</si>
  <si>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</si>
  <si>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</si>
  <si>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</si>
  <si>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</si>
  <si>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</si>
  <si>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</si>
  <si>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</si>
  <si>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</si>
  <si>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</si>
  <si>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</si>
  <si>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</si>
  <si>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</si>
  <si>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</si>
  <si>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</si>
  <si>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</si>
  <si>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</si>
  <si>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</si>
  <si>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</si>
  <si>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</si>
  <si>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</si>
  <si>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</si>
  <si>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</si>
  <si>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</si>
  <si>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</si>
  <si>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</si>
  <si>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</si>
  <si>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</si>
  <si>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</si>
  <si>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</si>
  <si>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</si>
  <si>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</si>
  <si>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</si>
  <si>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</si>
  <si>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</si>
  <si>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</si>
  <si>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(29a) Available path loss for control channel          = (23a) – (25a) + (26) – (27) + (28) – (12)   dB</t>
    <phoneticPr fontId="1" type="noConversion"/>
  </si>
  <si>
    <t>-</t>
    <phoneticPr fontId="1" type="noConversion"/>
  </si>
  <si>
    <t>-</t>
    <phoneticPr fontId="1" type="noConversion"/>
  </si>
  <si>
    <t>-</t>
    <phoneticPr fontId="1" type="noConversion"/>
  </si>
  <si>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</si>
  <si>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</si>
  <si>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</si>
  <si>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</si>
  <si>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</si>
  <si>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</si>
  <si>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</si>
  <si>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</si>
  <si>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</si>
  <si>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</si>
  <si>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</si>
  <si>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</si>
  <si>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</si>
  <si>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</si>
  <si>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</si>
  <si>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</si>
  <si>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</si>
  <si>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</si>
  <si>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</si>
  <si>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</si>
  <si>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</si>
  <si>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</si>
  <si>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</si>
  <si>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</si>
  <si>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</si>
  <si>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</si>
  <si>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</si>
  <si>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</si>
  <si>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NLOS</t>
    <phoneticPr fontId="1" type="noConversion"/>
  </si>
  <si>
    <t>NLOS O-to-I</t>
    <phoneticPr fontId="1" type="noConversion"/>
  </si>
  <si>
    <t>-</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</si>
  <si>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</si>
  <si>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</si>
  <si>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</si>
  <si>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</si>
  <si>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</si>
  <si>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(23a) Hardware link budget for control channel          = (9a) + (11) + (11bis) − (22a)   dB</t>
  </si>
  <si>
    <t>(23b) Hardware link budget for data channel           = (9b) + (11) + (11bis) − (22b)  dB</t>
  </si>
  <si>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</si>
  <si>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</si>
  <si>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</si>
  <si>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</si>
  <si>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</si>
  <si>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(22b) Receiver sensitivity for data channel          = (18b) + (19b) + (20) – (21b)  dBm</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</si>
  <si>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</si>
  <si>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</si>
  <si>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</si>
  <si>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</si>
  <si>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</si>
  <si>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</si>
  <si>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t>
    <phoneticPr fontId="1" type="noConversion"/>
  </si>
  <si>
    <t>DL</t>
  </si>
  <si>
    <t>UL</t>
  </si>
  <si>
    <t>(1bis) Number of transmit antenna ports</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</si>
  <si>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</si>
  <si>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</si>
  <si>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</si>
  <si>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(10) Number of receive antennas (The number shall be within the indicated range in § 8.4 of Report ITU-R M.2412-0)</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</si>
  <si>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</si>
  <si>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</si>
  <si>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t>
    <phoneticPr fontId="1" type="noConversion"/>
  </si>
  <si>
    <t>NLOS</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</si>
  <si>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</si>
  <si>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</si>
  <si>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</si>
  <si>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(29a) Available path loss for control channel          = (23a) – (25a) + (26) – (27) + (28) – (12)   dB</t>
    <phoneticPr fontId="1" type="noConversion"/>
  </si>
  <si>
    <t>DL</t>
    <phoneticPr fontId="1" type="noConversion"/>
  </si>
  <si>
    <t>UL</t>
    <phoneticPr fontId="1" type="noConversion"/>
  </si>
  <si>
    <t>DL</t>
    <phoneticPr fontId="1" type="noConversion"/>
  </si>
  <si>
    <t>UL</t>
    <phoneticPr fontId="1" type="noConversion"/>
  </si>
  <si>
    <t>NLOS O-to-I</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</si>
  <si>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</si>
  <si>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</si>
  <si>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</si>
  <si>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DL</t>
    <phoneticPr fontId="1" type="noConversion"/>
  </si>
  <si>
    <t>UL</t>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</si>
  <si>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</si>
  <si>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</si>
  <si>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</si>
  <si>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</si>
  <si>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</si>
  <si>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</si>
  <si>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</si>
  <si>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</si>
  <si>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</si>
  <si>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</si>
  <si>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</si>
  <si>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</si>
  <si>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</si>
  <si>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</si>
  <si>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(11bis) Receiver array gain (depends on receive array configurations and technologies such as adaptive beam forming, etc.) (dB)</t>
    <phoneticPr fontId="1" type="noConversion"/>
  </si>
  <si>
    <t>(11bis) Receiver array gain (depends on receive array configurations and technologies such as adaptive beam forming, etc.) (dB)</t>
    <phoneticPr fontId="1" type="noConversion"/>
  </si>
  <si>
    <t>(1bis) Number of antenna ports</t>
    <phoneticPr fontId="1" type="noConversion"/>
  </si>
  <si>
    <t>(1bis) Number of transmit antenna ports</t>
    <phoneticPr fontId="1" type="noConversion"/>
  </si>
  <si>
    <t>(10bis) Number of  receive antenna ports</t>
    <phoneticPr fontId="1" type="noConversion"/>
  </si>
  <si>
    <t>-</t>
    <phoneticPr fontId="1" type="noConversion"/>
  </si>
  <si>
    <t>(12) Cable, connector, combiner, body losses, etc. (enumerate sources) (dB) (feeder loss must be included for and only for uplink)</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</si>
  <si>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</si>
  <si>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phoneticPr fontId="1" type="noConversion"/>
  </si>
  <si>
    <t>-</t>
    <phoneticPr fontId="1" type="noConversion"/>
  </si>
  <si>
    <t>LOS</t>
    <phoneticPr fontId="1" type="noConversion"/>
  </si>
  <si>
    <t>-</t>
    <phoneticPr fontId="1" type="noConversion"/>
  </si>
  <si>
    <t>-</t>
    <phoneticPr fontId="1" type="noConversion"/>
  </si>
  <si>
    <t>-</t>
    <phoneticPr fontId="1" type="noConversion"/>
  </si>
  <si>
    <t>-</t>
    <phoneticPr fontId="1" type="noConversion"/>
  </si>
  <si>
    <t>-</t>
    <phoneticPr fontId="1" type="noConversion"/>
  </si>
  <si>
    <t>LOS</t>
  </si>
  <si>
    <t>LOS O-to-I</t>
  </si>
  <si>
    <t>-</t>
    <phoneticPr fontId="1" type="noConversion"/>
  </si>
  <si>
    <t>-</t>
    <phoneticPr fontId="1" type="noConversion"/>
  </si>
  <si>
    <t>-</t>
    <phoneticPr fontId="1" type="noConversion"/>
  </si>
  <si>
    <t>-</t>
    <phoneticPr fontId="1" type="noConversion"/>
  </si>
  <si>
    <t>-</t>
    <phoneticPr fontId="1" type="noConversion"/>
  </si>
  <si>
    <t>-</t>
    <phoneticPr fontId="1" type="noConversion"/>
  </si>
  <si>
    <t>LOS O-to-I</t>
    <phoneticPr fontId="1" type="noConversion"/>
  </si>
  <si>
    <t xml:space="preserve">(27) Penetration margin (dB) </t>
    <phoneticPr fontId="1" type="noConversion"/>
  </si>
  <si>
    <t>-</t>
    <phoneticPr fontId="1" type="noConversion"/>
  </si>
  <si>
    <t>-</t>
    <phoneticPr fontId="1" type="noConversion"/>
  </si>
  <si>
    <t>-</t>
    <phoneticPr fontId="1" type="noConversion"/>
  </si>
  <si>
    <t>-</t>
    <phoneticPr fontId="1" type="noConversion"/>
  </si>
  <si>
    <t>NLOS</t>
    <phoneticPr fontId="1" type="noConversion"/>
  </si>
  <si>
    <t>NLOS O-to-I</t>
    <phoneticPr fontId="1" type="noConversion"/>
  </si>
  <si>
    <t>-</t>
    <phoneticPr fontId="1" type="noConversion"/>
  </si>
  <si>
    <t>-</t>
    <phoneticPr fontId="1" type="noConversion"/>
  </si>
  <si>
    <t>-</t>
    <phoneticPr fontId="1" type="noConversion"/>
  </si>
  <si>
    <t>NLOS O-to-I</t>
    <phoneticPr fontId="1" type="noConversion"/>
  </si>
  <si>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</si>
  <si>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</si>
  <si>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</si>
  <si>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t>(4) Transmitter antenna gain (dBi)</t>
    <phoneticPr fontId="1" type="noConversion"/>
  </si>
  <si>
    <t>(9b) Data channel EIRP = (3) + (4) + (5) – (7) – (8)  dBm</t>
    <phoneticPr fontId="1" type="noConversion"/>
  </si>
  <si>
    <t xml:space="preserve">(15b) Receiver interference density for data channel (dBm/Hz) </t>
    <phoneticPr fontId="1" type="noConversion"/>
  </si>
  <si>
    <t>(18b) Effective noise power for data channel = (16b) + 10 log((17b)) dBm</t>
    <phoneticPr fontId="1" type="noConversion"/>
  </si>
  <si>
    <t xml:space="preserve">(19b) Required SNR for the data channel (dB) </t>
    <phoneticPr fontId="1" type="noConversion"/>
  </si>
  <si>
    <t>NOTE1: The term "antenna" is understood as antenna elements.</t>
    <phoneticPr fontId="1" type="noConversion"/>
  </si>
  <si>
    <t>NOTE2: In-band mode is assumed for NB-IoT, which results in 35dBm transmission power.</t>
    <phoneticPr fontId="1" type="noConversion"/>
  </si>
  <si>
    <t>General notes</t>
    <phoneticPr fontId="1" type="noConversion"/>
  </si>
  <si>
    <t>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Urban Macro - mMTC test environment, item "(15a/b) Receiver interference density" is assumed to be -177dB due to the assumption of low cell load when the large coverage area of  mMTC is considered.
6.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7.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</si>
  <si>
    <t>NPDSCH
(LOS)</t>
    <phoneticPr fontId="1" type="noConversion"/>
  </si>
  <si>
    <t>NPDCCH (LOS)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</si>
  <si>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</si>
  <si>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</si>
  <si>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</si>
  <si>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</si>
  <si>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format 1 (LOS)</t>
    <phoneticPr fontId="1" type="noConversion"/>
  </si>
  <si>
    <t>NPUSCH format 1 (NLOS)</t>
    <phoneticPr fontId="1" type="noConversion"/>
  </si>
  <si>
    <t>NPUSCH format 1 (NLOS O-to-I)</t>
    <phoneticPr fontId="1" type="noConversion"/>
  </si>
  <si>
    <r>
      <t xml:space="preserve">(1) Number of transmit antennas. (The number shall be within the indicated range in  § 8.4 of Report ITU-R M.2412-0) </t>
    </r>
    <r>
      <rPr>
        <sz val="11"/>
        <color rgb="FFFF0000"/>
        <rFont val="Times New Roman"/>
        <family val="1"/>
      </rPr>
      <t>NOTE1</t>
    </r>
  </si>
  <si>
    <r>
      <t xml:space="preserve">(3) Total transmit power = function of (1) and (2) (dBm) (The value shall not exceed the indicated value in § 8.4 of Report ITU-R M.2412-0) </t>
    </r>
    <r>
      <rPr>
        <sz val="11"/>
        <color rgb="FFFF0000"/>
        <rFont val="Times New Roman"/>
        <family val="1"/>
      </rPr>
      <t>NOTE2</t>
    </r>
  </si>
  <si>
    <t xml:space="preserve">Cell area reliability(1) for control channel  (%) (Please specify how it is calculated.)  </t>
  </si>
  <si>
    <t xml:space="preserve">Cell area reliability(1) for data channel (%) (Please specify how it is calculated.)  </t>
  </si>
  <si>
    <t xml:space="preserve">(15a) Receiver interference density for control channel (dBm/Hz)  </t>
  </si>
  <si>
    <t xml:space="preserve">(16a) Total noise plus interference density for control channel        = 10 log (10^(((13) + (14))/10) + 10^((15a)/10))  dBm/Hz   </t>
  </si>
  <si>
    <t xml:space="preserve">(16b) Total noise plus interference density for data channel        = 10 log (10^(((13) + (14))/10) + 10^((15b)/10))  dBm/Hz   </t>
  </si>
  <si>
    <t>PDSCH (NLOS)</t>
  </si>
  <si>
    <t>PDCCH (NLOS)</t>
  </si>
  <si>
    <t>PUSCH (NLOS)</t>
  </si>
  <si>
    <t>PUCCH (NLOS)</t>
  </si>
  <si>
    <t>PDSCH (LOS)</t>
  </si>
  <si>
    <t>PDCCH (LOS)</t>
  </si>
  <si>
    <t>PUSCH (LOS)</t>
  </si>
  <si>
    <t>PUCCH (LOS)</t>
  </si>
  <si>
    <t xml:space="preserve">PDCCH (NLOS) </t>
  </si>
  <si>
    <t>PDSCH (NLOS O-to-I)</t>
  </si>
  <si>
    <t xml:space="preserve">PDCCH (NLOS O-to-I) </t>
  </si>
  <si>
    <t>PUSCH (NLOS O-to-I)</t>
  </si>
  <si>
    <t>PUCCH (NLOS O-to-I)</t>
  </si>
  <si>
    <t xml:space="preserve">PDCCH (LOS) </t>
  </si>
  <si>
    <t>PDSCH (LOS O-to-I)</t>
  </si>
  <si>
    <t xml:space="preserve">PDCCH (LOS O-to-I) </t>
  </si>
  <si>
    <t>PUSCH (LOS O-to-I)</t>
  </si>
  <si>
    <t>PUCCH (LOS O-to-I)</t>
  </si>
  <si>
    <t>PDSCH
 (NLOS)</t>
  </si>
  <si>
    <t>PDSCH
 (NLOS O-to-I)</t>
  </si>
  <si>
    <t>PDCCH  (NLOS O-to-I)</t>
  </si>
  <si>
    <t>PUSCH
 (NLOS)</t>
  </si>
  <si>
    <t>PUCCH
(NLOS)</t>
  </si>
  <si>
    <t>PUSCH
 (NLOS O-to-I)</t>
  </si>
  <si>
    <t>PUCCH
 (NLOS O-to-I)</t>
  </si>
  <si>
    <t>PDSCH 
(NLOS)</t>
  </si>
  <si>
    <t xml:space="preserve">PDCCH
(NLOS) </t>
  </si>
  <si>
    <t>PDSCH 
(NLOS O-to-I)</t>
  </si>
  <si>
    <t xml:space="preserve">PDCCH
 (NLOS O-to-I) </t>
  </si>
  <si>
    <t>PUSCH 
(NLOS)</t>
  </si>
  <si>
    <t>PUSCH 
(NLOS O-to-I)</t>
  </si>
  <si>
    <t>PDSCH 
(LOS)</t>
  </si>
  <si>
    <t xml:space="preserve">PDCCH
(LOS) </t>
  </si>
  <si>
    <t>PDSCH 
(LOS O-to-I)</t>
  </si>
  <si>
    <t xml:space="preserve">PDCCH
 (LOS O-to-I) </t>
  </si>
  <si>
    <t>PUSCH 
(LOS)</t>
  </si>
  <si>
    <t>PUCCH
(LOS)</t>
  </si>
  <si>
    <t>PUSCH 
(LOS O-to-I)</t>
  </si>
  <si>
    <t>PUCCH
 (LOS O-to-I)</t>
  </si>
  <si>
    <t>PDCCH (NLOS O-to-I)</t>
  </si>
  <si>
    <t>PDCCH (LOS O-to-I)</t>
  </si>
  <si>
    <t>NPUSCH format2 (NLOS O-to-I)</t>
  </si>
  <si>
    <t>NPUSCH format2  (NLOS)</t>
  </si>
  <si>
    <t>NPUSCH format2  (LOS)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</si>
</sst>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 "/>
    <numFmt numFmtId="165" formatCode="0.00_);[Red]\(0.00\)"/>
    <numFmt numFmtId="166" formatCode="0.000%"/>
    <numFmt numFmtId="167" formatCode="0.000_ "/>
    <numFmt numFmtId="168" formatCode="0.000E+00"/>
  </numFmts>
  <fonts count="32">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sz val="12"/>
      <name val="Times New Roman"/>
      <family val="1"/>
    </font>
    <font>
      <sz val="11"/>
      <color rgb="FFFF0000"/>
      <name val="Times New Roman"/>
      <family val="1"/>
    </font>
    <font>
      <b/>
      <sz val="11"/>
      <name val="Times New Roman"/>
      <family val="1"/>
    </font>
    <font>
      <vertAlign val="superscript"/>
      <sz val="10"/>
      <name val="Times New Roman"/>
      <family val="1"/>
    </font>
    <font>
      <vertAlign val="superscript"/>
      <sz val="11"/>
      <name val="Times New Roman"/>
      <family val="1"/>
    </font>
    <font>
      <sz val="10"/>
      <name val="Arial"/>
      <family val="2"/>
    </font>
    <font>
      <b/>
      <sz val="11"/>
      <color theme="9" tint="-0.249977111117893"/>
      <name val="Times New Roman"/>
      <family val="1"/>
    </font>
    <font>
      <sz val="11"/>
      <color theme="9" tint="-0.249977111117893"/>
      <name val="Times New Roman"/>
      <family val="1"/>
    </font>
    <font>
      <sz val="11"/>
      <name val="Arial"/>
      <family val="2"/>
    </font>
    <font>
      <sz val="11"/>
      <color rgb="FF7030A0"/>
      <name val="Times New Roman"/>
      <family val="1"/>
    </font>
    <font>
      <sz val="12"/>
      <color theme="9" tint="-0.249977111117893"/>
      <name val="宋体"/>
      <family val="3"/>
      <charset val="134"/>
    </font>
    <font>
      <sz val="12"/>
      <color rgb="FF7030A0"/>
      <name val="宋体"/>
      <family val="3"/>
      <charset val="134"/>
    </font>
    <font>
      <b/>
      <sz val="14"/>
      <name val="Arial"/>
      <family val="2"/>
    </font>
    <font>
      <i/>
      <sz val="11"/>
      <color theme="1"/>
      <name val="Times New Roman"/>
      <family val="1"/>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s>
  <cellStyleXfs count="3">
    <xf numFmtId="0" fontId="0" fillId="0" borderId="0">
      <alignment vertical="center"/>
    </xf>
    <xf numFmtId="0" fontId="3" fillId="0" borderId="0">
      <alignment vertical="center"/>
    </xf>
    <xf numFmtId="0" fontId="17" fillId="8" borderId="16" applyNumberFormat="0" applyAlignment="0" applyProtection="0">
      <alignment vertical="center"/>
    </xf>
  </cellStyleXfs>
  <cellXfs count="153">
    <xf numFmtId="0" fontId="0" fillId="0" borderId="0" xfId="0">
      <alignment vertical="center"/>
    </xf>
    <xf numFmtId="0" fontId="3" fillId="0" borderId="0" xfId="1">
      <alignment vertical="center"/>
    </xf>
    <xf numFmtId="0" fontId="4" fillId="0" borderId="0" xfId="0" applyFont="1">
      <alignment vertical="center"/>
    </xf>
    <xf numFmtId="0" fontId="6" fillId="0" borderId="0" xfId="0" applyFont="1">
      <alignment vertical="center"/>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6" borderId="2" xfId="0" applyFont="1" applyFill="1" applyBorder="1" applyAlignment="1">
      <alignment vertical="center" wrapText="1"/>
    </xf>
    <xf numFmtId="0" fontId="13" fillId="6"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7"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pplyAlignment="1">
      <alignment horizontal="justify" vertical="center" wrapText="1"/>
    </xf>
    <xf numFmtId="0" fontId="16" fillId="0" borderId="0" xfId="0" applyFont="1">
      <alignment vertical="center"/>
    </xf>
    <xf numFmtId="165" fontId="12" fillId="2" borderId="1" xfId="0" applyNumberFormat="1" applyFont="1" applyFill="1" applyBorder="1" applyAlignment="1">
      <alignment vertical="center" wrapText="1"/>
    </xf>
    <xf numFmtId="165" fontId="16" fillId="0" borderId="0" xfId="0" applyNumberFormat="1" applyFont="1" applyAlignment="1">
      <alignment horizontal="center" vertical="center"/>
    </xf>
    <xf numFmtId="165" fontId="16" fillId="0" borderId="0" xfId="0" applyNumberFormat="1" applyFont="1">
      <alignment vertical="center"/>
    </xf>
    <xf numFmtId="11" fontId="13" fillId="0" borderId="1"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xf>
    <xf numFmtId="164" fontId="12" fillId="2" borderId="1" xfId="0" applyNumberFormat="1" applyFont="1" applyFill="1" applyBorder="1" applyAlignment="1">
      <alignment vertical="center" wrapText="1"/>
    </xf>
    <xf numFmtId="164" fontId="13" fillId="6" borderId="1" xfId="0" applyNumberFormat="1" applyFont="1" applyFill="1" applyBorder="1" applyAlignment="1">
      <alignment horizontal="center" vertical="center" wrapText="1"/>
    </xf>
    <xf numFmtId="164" fontId="13" fillId="4" borderId="1" xfId="0" applyNumberFormat="1" applyFont="1" applyFill="1" applyBorder="1" applyAlignment="1">
      <alignment horizontal="center" vertical="center"/>
    </xf>
    <xf numFmtId="164" fontId="13" fillId="7"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xf>
    <xf numFmtId="164" fontId="16" fillId="0" borderId="0" xfId="0" applyNumberFormat="1" applyFont="1" applyAlignment="1">
      <alignment horizontal="center" vertical="center"/>
    </xf>
    <xf numFmtId="164" fontId="12" fillId="2" borderId="1" xfId="0" applyNumberFormat="1" applyFont="1" applyFill="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164" fontId="16" fillId="0" borderId="0" xfId="0" applyNumberFormat="1" applyFont="1">
      <alignment vertical="center"/>
    </xf>
    <xf numFmtId="0" fontId="13" fillId="0" borderId="0" xfId="0" applyFont="1">
      <alignment vertical="center"/>
    </xf>
    <xf numFmtId="164" fontId="13" fillId="0" borderId="0" xfId="0" applyNumberFormat="1" applyFont="1" applyAlignment="1">
      <alignment horizontal="center" vertical="center"/>
    </xf>
    <xf numFmtId="164" fontId="13" fillId="0" borderId="0" xfId="0" applyNumberFormat="1" applyFont="1">
      <alignment vertical="center"/>
    </xf>
    <xf numFmtId="9" fontId="13" fillId="0" borderId="1" xfId="0" applyNumberFormat="1" applyFont="1" applyBorder="1" applyAlignment="1">
      <alignment horizontal="center" vertical="center"/>
    </xf>
    <xf numFmtId="0" fontId="13" fillId="0" borderId="0" xfId="0" applyFont="1" applyAlignment="1">
      <alignment horizontal="center" vertical="center"/>
    </xf>
    <xf numFmtId="164" fontId="12" fillId="2" borderId="1" xfId="0" applyNumberFormat="1" applyFont="1" applyFill="1" applyBorder="1" applyAlignment="1">
      <alignment horizontal="justify" vertical="center"/>
    </xf>
    <xf numFmtId="164" fontId="12" fillId="2" borderId="1" xfId="0" applyNumberFormat="1" applyFont="1" applyFill="1" applyBorder="1" applyAlignment="1">
      <alignment horizontal="justify" vertical="center" wrapText="1"/>
    </xf>
    <xf numFmtId="164" fontId="12" fillId="2" borderId="1" xfId="0" applyNumberFormat="1" applyFont="1" applyFill="1" applyBorder="1" applyAlignment="1">
      <alignment vertical="center"/>
    </xf>
    <xf numFmtId="164" fontId="13" fillId="3" borderId="1" xfId="0" applyNumberFormat="1" applyFont="1" applyFill="1" applyBorder="1" applyAlignment="1">
      <alignment horizontal="justify" vertical="center" wrapText="1"/>
    </xf>
    <xf numFmtId="164" fontId="13" fillId="0" borderId="1" xfId="0" applyNumberFormat="1" applyFont="1" applyBorder="1" applyAlignment="1">
      <alignment horizontal="center" vertical="center"/>
    </xf>
    <xf numFmtId="164" fontId="13" fillId="7" borderId="2" xfId="0" applyNumberFormat="1" applyFont="1" applyFill="1" applyBorder="1" applyAlignment="1">
      <alignment vertical="center" wrapText="1"/>
    </xf>
    <xf numFmtId="164" fontId="13" fillId="7" borderId="1" xfId="0" applyNumberFormat="1" applyFont="1" applyFill="1" applyBorder="1" applyAlignment="1">
      <alignment horizontal="justify" vertical="center" wrapText="1"/>
    </xf>
    <xf numFmtId="164" fontId="13" fillId="4" borderId="1" xfId="0" applyNumberFormat="1" applyFont="1" applyFill="1" applyBorder="1" applyAlignment="1">
      <alignment horizontal="justify" vertical="center" wrapText="1"/>
    </xf>
    <xf numFmtId="164" fontId="12" fillId="7" borderId="1" xfId="0" applyNumberFormat="1" applyFont="1" applyFill="1" applyBorder="1" applyAlignment="1">
      <alignment horizontal="justify" vertical="center" wrapText="1"/>
    </xf>
    <xf numFmtId="164" fontId="13" fillId="4" borderId="1" xfId="0" applyNumberFormat="1" applyFont="1" applyFill="1" applyBorder="1" applyAlignment="1">
      <alignment horizontal="justify" vertical="center"/>
    </xf>
    <xf numFmtId="164" fontId="13" fillId="0" borderId="1" xfId="0" applyNumberFormat="1" applyFont="1" applyBorder="1" applyAlignment="1">
      <alignment horizontal="justify" vertical="center" wrapText="1"/>
    </xf>
    <xf numFmtId="164" fontId="16" fillId="0" borderId="0" xfId="0" applyNumberFormat="1" applyFont="1" applyAlignment="1">
      <alignment vertical="center"/>
    </xf>
    <xf numFmtId="166" fontId="13" fillId="3" borderId="1" xfId="0" applyNumberFormat="1" applyFont="1" applyFill="1" applyBorder="1" applyAlignment="1">
      <alignment horizontal="justify" vertical="center" wrapText="1"/>
    </xf>
    <xf numFmtId="166" fontId="13" fillId="0" borderId="1" xfId="0" applyNumberFormat="1"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4" fontId="13" fillId="4"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5" fontId="12" fillId="2" borderId="1" xfId="0" applyNumberFormat="1" applyFont="1" applyFill="1" applyBorder="1" applyAlignment="1">
      <alignment horizontal="center" vertical="center" wrapText="1"/>
    </xf>
    <xf numFmtId="0" fontId="3" fillId="0" borderId="0" xfId="0" applyFont="1">
      <alignment vertical="center"/>
    </xf>
    <xf numFmtId="0" fontId="13" fillId="0" borderId="1" xfId="0" applyFont="1" applyFill="1" applyBorder="1" applyAlignment="1">
      <alignment horizontal="justify" vertical="center" wrapText="1"/>
    </xf>
    <xf numFmtId="164" fontId="16" fillId="0" borderId="0" xfId="0" applyNumberFormat="1" applyFont="1" applyFill="1" applyAlignment="1">
      <alignment horizontal="center" vertical="center"/>
    </xf>
    <xf numFmtId="164" fontId="16" fillId="0" borderId="1" xfId="0" applyNumberFormat="1" applyFont="1" applyFill="1" applyBorder="1" applyAlignment="1">
      <alignment horizontal="center" vertical="center"/>
    </xf>
    <xf numFmtId="0" fontId="0" fillId="0" borderId="0" xfId="0" applyFill="1">
      <alignment vertical="center"/>
    </xf>
    <xf numFmtId="164" fontId="13" fillId="9" borderId="1" xfId="0" applyNumberFormat="1" applyFont="1" applyFill="1" applyBorder="1" applyAlignment="1">
      <alignment horizontal="justify" vertical="center" wrapText="1"/>
    </xf>
    <xf numFmtId="164" fontId="13" fillId="0" borderId="1" xfId="1" applyNumberFormat="1" applyFont="1" applyFill="1" applyBorder="1" applyAlignment="1">
      <alignment horizontal="center" vertical="center" wrapText="1"/>
    </xf>
    <xf numFmtId="164" fontId="3" fillId="0" borderId="0" xfId="0" applyNumberFormat="1" applyFont="1" applyFill="1" applyAlignment="1">
      <alignment horizontal="center" vertical="center"/>
    </xf>
    <xf numFmtId="164" fontId="3" fillId="0" borderId="1" xfId="0" applyNumberFormat="1" applyFont="1" applyFill="1" applyBorder="1" applyAlignment="1">
      <alignment horizontal="center" vertical="center"/>
    </xf>
    <xf numFmtId="165" fontId="24" fillId="2" borderId="1" xfId="0" applyNumberFormat="1" applyFont="1" applyFill="1" applyBorder="1" applyAlignment="1">
      <alignment horizontal="center" vertical="center" wrapText="1"/>
    </xf>
    <xf numFmtId="164" fontId="24" fillId="2" borderId="1" xfId="0" applyNumberFormat="1" applyFont="1" applyFill="1" applyBorder="1" applyAlignment="1">
      <alignment horizontal="center" vertical="center" wrapText="1"/>
    </xf>
    <xf numFmtId="164" fontId="3" fillId="0" borderId="0" xfId="0" applyNumberFormat="1" applyFont="1" applyAlignment="1">
      <alignment horizontal="center" vertical="center"/>
    </xf>
    <xf numFmtId="0" fontId="0" fillId="0" borderId="0" xfId="0" applyAlignment="1">
      <alignment horizontal="center" vertical="center"/>
    </xf>
    <xf numFmtId="0" fontId="24" fillId="2" borderId="1" xfId="0" applyFont="1" applyFill="1" applyBorder="1" applyAlignment="1">
      <alignment horizontal="center" vertical="center" wrapText="1"/>
    </xf>
    <xf numFmtId="164" fontId="25" fillId="0" borderId="1" xfId="0" applyNumberFormat="1" applyFont="1" applyFill="1" applyBorder="1" applyAlignment="1">
      <alignment horizontal="center" vertical="center"/>
    </xf>
    <xf numFmtId="164" fontId="25" fillId="0" borderId="1" xfId="0" applyNumberFormat="1" applyFont="1" applyBorder="1" applyAlignment="1">
      <alignment horizontal="center" vertical="center"/>
    </xf>
    <xf numFmtId="164" fontId="25" fillId="0" borderId="1" xfId="0" applyNumberFormat="1" applyFont="1" applyFill="1" applyBorder="1" applyAlignment="1">
      <alignment horizontal="center" vertical="center" wrapText="1"/>
    </xf>
    <xf numFmtId="0" fontId="0" fillId="0" borderId="0" xfId="0" applyAlignment="1">
      <alignment horizontal="left" vertical="center"/>
    </xf>
    <xf numFmtId="164" fontId="27" fillId="0" borderId="1" xfId="0" applyNumberFormat="1" applyFont="1" applyFill="1" applyBorder="1" applyAlignment="1">
      <alignment horizontal="center" vertical="center" wrapText="1"/>
    </xf>
    <xf numFmtId="11" fontId="13" fillId="0" borderId="0" xfId="0" applyNumberFormat="1" applyFont="1" applyBorder="1" applyAlignment="1">
      <alignment horizontal="center" vertical="center" wrapText="1"/>
    </xf>
    <xf numFmtId="0" fontId="26" fillId="0" borderId="0" xfId="0" applyFont="1" applyAlignment="1">
      <alignment horizontal="left" vertical="center" wrapText="1"/>
    </xf>
    <xf numFmtId="164" fontId="28" fillId="0" borderId="0" xfId="0" applyNumberFormat="1" applyFont="1" applyFill="1" applyAlignment="1">
      <alignment horizontal="center" vertical="center"/>
    </xf>
    <xf numFmtId="164" fontId="29" fillId="0" borderId="0" xfId="0" applyNumberFormat="1" applyFont="1" applyFill="1" applyAlignment="1">
      <alignment horizontal="center" vertical="center"/>
    </xf>
    <xf numFmtId="164" fontId="27" fillId="0" borderId="1" xfId="0" applyNumberFormat="1" applyFont="1" applyBorder="1" applyAlignment="1">
      <alignment horizontal="center" vertical="center" wrapText="1"/>
    </xf>
    <xf numFmtId="0" fontId="23" fillId="0" borderId="0" xfId="0" applyFont="1" applyBorder="1" applyAlignment="1">
      <alignment vertical="top" wrapText="1"/>
    </xf>
    <xf numFmtId="0" fontId="0" fillId="0" borderId="0" xfId="0" applyBorder="1">
      <alignment vertical="center"/>
    </xf>
    <xf numFmtId="0" fontId="0" fillId="0" borderId="17" xfId="0" applyBorder="1">
      <alignment vertical="center"/>
    </xf>
    <xf numFmtId="14" fontId="26" fillId="0" borderId="0" xfId="0" applyNumberFormat="1" applyFont="1" applyBorder="1" applyAlignment="1">
      <alignment horizontal="left" vertical="top" wrapText="1"/>
    </xf>
    <xf numFmtId="0" fontId="26" fillId="0" borderId="0" xfId="0" applyFont="1" applyBorder="1" applyAlignment="1">
      <alignment horizontal="left" vertical="top" wrapText="1"/>
    </xf>
    <xf numFmtId="0" fontId="30" fillId="0" borderId="17" xfId="0" applyFont="1" applyBorder="1">
      <alignment vertical="center"/>
    </xf>
    <xf numFmtId="0" fontId="20" fillId="2" borderId="1" xfId="0" applyFont="1" applyFill="1" applyBorder="1" applyAlignment="1">
      <alignment horizontal="justify" vertical="center"/>
    </xf>
    <xf numFmtId="164"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164" fontId="20" fillId="2" borderId="1" xfId="0" applyNumberFormat="1" applyFont="1" applyFill="1" applyBorder="1" applyAlignment="1">
      <alignment horizontal="center" vertical="center"/>
    </xf>
    <xf numFmtId="0" fontId="2" fillId="3" borderId="1" xfId="0" applyFont="1" applyFill="1" applyBorder="1" applyAlignment="1">
      <alignment horizontal="justify" vertical="center" wrapText="1"/>
    </xf>
    <xf numFmtId="165"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165" fontId="2" fillId="0" borderId="1" xfId="2"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xf>
    <xf numFmtId="0" fontId="2" fillId="7" borderId="1" xfId="0" applyFont="1" applyFill="1" applyBorder="1" applyAlignment="1">
      <alignment vertical="center" wrapText="1"/>
    </xf>
    <xf numFmtId="165" fontId="2" fillId="7" borderId="1" xfId="0" applyNumberFormat="1" applyFont="1" applyFill="1" applyBorder="1" applyAlignment="1">
      <alignment horizontal="center" vertical="center" wrapText="1"/>
    </xf>
    <xf numFmtId="0" fontId="2" fillId="7" borderId="1" xfId="0" applyFont="1" applyFill="1" applyBorder="1" applyAlignment="1">
      <alignment horizontal="justify" vertical="center" wrapText="1"/>
    </xf>
    <xf numFmtId="165" fontId="2" fillId="0" borderId="1" xfId="0" applyNumberFormat="1" applyFont="1" applyBorder="1" applyAlignment="1">
      <alignment horizontal="center" vertical="center" wrapText="1"/>
    </xf>
    <xf numFmtId="0" fontId="2" fillId="4" borderId="1" xfId="0" applyFont="1" applyFill="1" applyBorder="1" applyAlignment="1">
      <alignment horizontal="justify" vertical="center" wrapText="1"/>
    </xf>
    <xf numFmtId="165" fontId="2" fillId="4"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wrapText="1"/>
    </xf>
    <xf numFmtId="165" fontId="20" fillId="2" borderId="1" xfId="0" applyNumberFormat="1" applyFont="1" applyFill="1" applyBorder="1" applyAlignment="1">
      <alignment horizontal="center" vertical="center"/>
    </xf>
    <xf numFmtId="0" fontId="20" fillId="7" borderId="1" xfId="0" applyFont="1" applyFill="1" applyBorder="1" applyAlignment="1">
      <alignment horizontal="justify" vertical="center" wrapText="1"/>
    </xf>
    <xf numFmtId="0" fontId="2" fillId="4" borderId="1" xfId="0" applyFont="1" applyFill="1" applyBorder="1" applyAlignment="1">
      <alignment horizontal="justify" vertical="center"/>
    </xf>
    <xf numFmtId="164" fontId="2" fillId="4" borderId="1" xfId="0" applyNumberFormat="1" applyFont="1" applyFill="1" applyBorder="1" applyAlignment="1">
      <alignment horizontal="center" vertical="center"/>
    </xf>
    <xf numFmtId="164" fontId="2" fillId="0" borderId="1" xfId="2" applyNumberFormat="1" applyFont="1" applyFill="1" applyBorder="1" applyAlignment="1">
      <alignment horizontal="center" vertical="center"/>
    </xf>
    <xf numFmtId="0" fontId="2" fillId="0" borderId="1" xfId="0" applyFont="1" applyBorder="1" applyAlignment="1">
      <alignment horizontal="justify" vertical="center" wrapText="1"/>
    </xf>
    <xf numFmtId="164"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xf>
    <xf numFmtId="0" fontId="18" fillId="0" borderId="1" xfId="0" applyFont="1" applyBorder="1">
      <alignment vertical="center"/>
    </xf>
    <xf numFmtId="0" fontId="2" fillId="0" borderId="1" xfId="0" applyFont="1" applyBorder="1">
      <alignment vertical="center"/>
    </xf>
    <xf numFmtId="164" fontId="12" fillId="2" borderId="1" xfId="0" applyNumberFormat="1" applyFont="1" applyFill="1" applyBorder="1" applyAlignment="1">
      <alignment horizontal="center" vertical="center" wrapText="1"/>
    </xf>
    <xf numFmtId="164" fontId="31" fillId="0" borderId="1" xfId="0" applyNumberFormat="1" applyFont="1" applyBorder="1" applyAlignment="1">
      <alignment horizontal="center" vertical="center"/>
    </xf>
    <xf numFmtId="0" fontId="23" fillId="0" borderId="0" xfId="0" applyFont="1" applyFill="1" applyBorder="1" applyAlignment="1">
      <alignment vertical="top"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164" fontId="12" fillId="2" borderId="6" xfId="0" applyNumberFormat="1" applyFont="1" applyFill="1" applyBorder="1" applyAlignment="1">
      <alignment horizontal="center" vertical="center" wrapText="1"/>
    </xf>
    <xf numFmtId="164" fontId="12" fillId="2" borderId="7" xfId="0" applyNumberFormat="1" applyFont="1" applyFill="1" applyBorder="1" applyAlignment="1">
      <alignment horizontal="center" vertical="center" wrapText="1"/>
    </xf>
    <xf numFmtId="164" fontId="20" fillId="2" borderId="4" xfId="0" applyNumberFormat="1" applyFont="1" applyFill="1" applyBorder="1" applyAlignment="1">
      <alignment horizontal="center" vertical="center"/>
    </xf>
    <xf numFmtId="164" fontId="20" fillId="2" borderId="5" xfId="0" applyNumberFormat="1" applyFont="1" applyFill="1" applyBorder="1" applyAlignment="1">
      <alignment horizontal="center" vertical="center"/>
    </xf>
    <xf numFmtId="164" fontId="20" fillId="2" borderId="6" xfId="0" applyNumberFormat="1"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2" zoomScaleNormal="100" workbookViewId="0">
      <selection activeCell="A5" sqref="A5:A12"/>
    </sheetView>
  </sheetViews>
  <sheetFormatPr defaultColWidth="8.875" defaultRowHeight="14.25"/>
  <cols>
    <col min="1" max="1" width="118.125" customWidth="1"/>
    <col min="2" max="2" width="22.625" customWidth="1"/>
    <col min="5" max="5" width="49" customWidth="1"/>
  </cols>
  <sheetData>
    <row r="1" spans="1:7" ht="18.75" thickBot="1">
      <c r="A1" s="101" t="s">
        <v>189</v>
      </c>
      <c r="B1" s="98"/>
      <c r="C1" s="98"/>
      <c r="D1" s="98"/>
    </row>
    <row r="2" spans="1:7" ht="278.25" customHeight="1">
      <c r="A2" s="96" t="s">
        <v>190</v>
      </c>
      <c r="B2" s="97"/>
      <c r="C2" s="97"/>
      <c r="D2" s="97"/>
    </row>
    <row r="3" spans="1:7" ht="34.35" customHeight="1">
      <c r="A3" s="96"/>
      <c r="B3" s="97"/>
      <c r="C3" s="97"/>
      <c r="D3" s="97"/>
    </row>
    <row r="4" spans="1:7" ht="18.75" thickBot="1">
      <c r="A4" s="101"/>
      <c r="B4" s="98"/>
      <c r="C4" s="98"/>
      <c r="D4" s="98"/>
    </row>
    <row r="5" spans="1:7" ht="33.6" customHeight="1">
      <c r="A5" s="136"/>
      <c r="B5" s="99"/>
      <c r="C5" s="100"/>
      <c r="D5" s="100"/>
      <c r="E5" s="92"/>
      <c r="F5" s="89"/>
      <c r="G5" s="89"/>
    </row>
    <row r="6" spans="1:7">
      <c r="A6" s="76"/>
    </row>
    <row r="7" spans="1:7">
      <c r="A7" s="76"/>
    </row>
    <row r="8" spans="1:7">
      <c r="A8" s="76"/>
    </row>
    <row r="9" spans="1:7">
      <c r="A9" s="76"/>
    </row>
    <row r="10" spans="1:7">
      <c r="A10" s="76"/>
    </row>
    <row r="11" spans="1:7">
      <c r="A11" s="76"/>
    </row>
    <row r="12" spans="1:7">
      <c r="A12" s="76"/>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85" zoomScaleNormal="85" workbookViewId="0">
      <pane xSplit="1" ySplit="2" topLeftCell="B56" activePane="bottomRight" state="frozen"/>
      <selection pane="topRight" activeCell="B1" sqref="B1"/>
      <selection pane="bottomLeft" activeCell="A3" sqref="A3"/>
      <selection pane="bottomRight" activeCell="B2" sqref="B2"/>
    </sheetView>
  </sheetViews>
  <sheetFormatPr defaultColWidth="8.875" defaultRowHeight="14.25"/>
  <cols>
    <col min="1" max="1" width="62.125" style="25" bestFit="1" customWidth="1"/>
    <col min="2" max="2" width="16" style="27" customWidth="1"/>
    <col min="3" max="3" width="15.625" style="27" bestFit="1" customWidth="1"/>
    <col min="4" max="4" width="15.125" style="28" customWidth="1"/>
    <col min="5" max="5" width="14.625" style="28" customWidth="1"/>
    <col min="6" max="6" width="13.625" customWidth="1"/>
    <col min="7" max="7" width="13.375" customWidth="1"/>
    <col min="8" max="8" width="12.625" customWidth="1"/>
    <col min="9" max="9" width="12.5" customWidth="1"/>
    <col min="11" max="11" width="17.375" customWidth="1"/>
  </cols>
  <sheetData>
    <row r="1" spans="1:9">
      <c r="A1" s="13" t="s">
        <v>0</v>
      </c>
      <c r="B1" s="137" t="s">
        <v>119</v>
      </c>
      <c r="C1" s="138"/>
      <c r="D1" s="137" t="s">
        <v>120</v>
      </c>
      <c r="E1" s="138"/>
      <c r="F1" s="137" t="s">
        <v>47</v>
      </c>
      <c r="G1" s="138"/>
      <c r="H1" s="137" t="s">
        <v>48</v>
      </c>
      <c r="I1" s="138"/>
    </row>
    <row r="2" spans="1:9" ht="28.5">
      <c r="A2" s="13"/>
      <c r="B2" s="71" t="s">
        <v>207</v>
      </c>
      <c r="C2" s="39" t="s">
        <v>208</v>
      </c>
      <c r="D2" s="71" t="s">
        <v>209</v>
      </c>
      <c r="E2" s="71" t="s">
        <v>210</v>
      </c>
      <c r="F2" s="81" t="s">
        <v>211</v>
      </c>
      <c r="G2" s="82" t="s">
        <v>212</v>
      </c>
      <c r="H2" s="81" t="s">
        <v>213</v>
      </c>
      <c r="I2" s="81" t="s">
        <v>214</v>
      </c>
    </row>
    <row r="3" spans="1:9">
      <c r="A3" s="15" t="s">
        <v>1</v>
      </c>
      <c r="B3" s="26"/>
      <c r="C3" s="26"/>
      <c r="D3" s="26"/>
      <c r="E3" s="26"/>
      <c r="F3" s="26"/>
      <c r="G3" s="26"/>
      <c r="H3" s="26"/>
      <c r="I3" s="26"/>
    </row>
    <row r="4" spans="1:9" ht="15">
      <c r="A4" s="16" t="s">
        <v>2</v>
      </c>
      <c r="B4" s="31">
        <v>4</v>
      </c>
      <c r="C4" s="31">
        <v>4</v>
      </c>
      <c r="D4" s="31">
        <v>4</v>
      </c>
      <c r="E4" s="31">
        <v>4</v>
      </c>
      <c r="F4" s="31">
        <v>4</v>
      </c>
      <c r="G4" s="31">
        <v>4</v>
      </c>
      <c r="H4" s="31">
        <v>4</v>
      </c>
      <c r="I4" s="31">
        <v>4</v>
      </c>
    </row>
    <row r="5" spans="1:9" ht="15">
      <c r="A5" s="16" t="s">
        <v>3</v>
      </c>
      <c r="B5" s="31">
        <v>3</v>
      </c>
      <c r="C5" s="31">
        <v>3</v>
      </c>
      <c r="D5" s="31">
        <v>3</v>
      </c>
      <c r="E5" s="31">
        <v>3</v>
      </c>
      <c r="F5" s="31">
        <v>3</v>
      </c>
      <c r="G5" s="31">
        <v>3</v>
      </c>
      <c r="H5" s="31">
        <v>3</v>
      </c>
      <c r="I5" s="31">
        <v>3</v>
      </c>
    </row>
    <row r="6" spans="1:9" ht="15">
      <c r="A6" s="16" t="s">
        <v>4</v>
      </c>
      <c r="B6" s="30">
        <v>1.5</v>
      </c>
      <c r="C6" s="30">
        <v>1.5</v>
      </c>
      <c r="D6" s="30">
        <v>1.5</v>
      </c>
      <c r="E6" s="30">
        <v>1.5</v>
      </c>
      <c r="F6" s="30">
        <v>1.5</v>
      </c>
      <c r="G6" s="30">
        <v>1.5</v>
      </c>
      <c r="H6" s="30">
        <v>1.5</v>
      </c>
      <c r="I6" s="30">
        <v>1.5</v>
      </c>
    </row>
    <row r="7" spans="1:9" ht="30">
      <c r="A7" s="16" t="s">
        <v>202</v>
      </c>
      <c r="B7" s="17" t="s">
        <v>113</v>
      </c>
      <c r="C7" s="18">
        <v>0.95</v>
      </c>
      <c r="D7" s="18" t="s">
        <v>113</v>
      </c>
      <c r="E7" s="18">
        <v>0.95</v>
      </c>
      <c r="F7" s="17" t="s">
        <v>154</v>
      </c>
      <c r="G7" s="18">
        <v>0.95</v>
      </c>
      <c r="H7" s="18" t="s">
        <v>154</v>
      </c>
      <c r="I7" s="18">
        <v>0.95</v>
      </c>
    </row>
    <row r="8" spans="1:9" ht="15">
      <c r="A8" s="16" t="s">
        <v>203</v>
      </c>
      <c r="B8" s="17">
        <v>0.9</v>
      </c>
      <c r="C8" s="18" t="s">
        <v>113</v>
      </c>
      <c r="D8" s="18">
        <v>0.9</v>
      </c>
      <c r="E8" s="18" t="s">
        <v>113</v>
      </c>
      <c r="F8" s="17">
        <v>0.9</v>
      </c>
      <c r="G8" s="18" t="s">
        <v>152</v>
      </c>
      <c r="H8" s="18">
        <v>0.9</v>
      </c>
      <c r="I8" s="18" t="s">
        <v>154</v>
      </c>
    </row>
    <row r="9" spans="1:9" ht="15">
      <c r="A9" s="16" t="s">
        <v>5</v>
      </c>
      <c r="B9" s="30" t="s">
        <v>113</v>
      </c>
      <c r="C9" s="31">
        <f>64/(0.001)</f>
        <v>64000</v>
      </c>
      <c r="D9" s="31" t="s">
        <v>113</v>
      </c>
      <c r="E9" s="31">
        <f>2/(0.5*0.001)</f>
        <v>4000</v>
      </c>
      <c r="F9" s="30" t="s">
        <v>154</v>
      </c>
      <c r="G9" s="31">
        <f>64/(0.001)</f>
        <v>64000</v>
      </c>
      <c r="H9" s="31" t="s">
        <v>152</v>
      </c>
      <c r="I9" s="31">
        <f>2/(0.5*0.001)</f>
        <v>4000</v>
      </c>
    </row>
    <row r="10" spans="1:9" ht="15">
      <c r="A10" s="16" t="s">
        <v>6</v>
      </c>
      <c r="B10" s="30">
        <f>4650676*3</f>
        <v>13952028</v>
      </c>
      <c r="C10" s="31" t="s">
        <v>113</v>
      </c>
      <c r="D10" s="32">
        <f>371520*3</f>
        <v>1114560</v>
      </c>
      <c r="E10" s="31" t="s">
        <v>113</v>
      </c>
      <c r="F10" s="30">
        <f>4650676*3</f>
        <v>13952028</v>
      </c>
      <c r="G10" s="31" t="s">
        <v>50</v>
      </c>
      <c r="H10" s="32">
        <f>371520*3</f>
        <v>1114560</v>
      </c>
      <c r="I10" s="31" t="s">
        <v>152</v>
      </c>
    </row>
    <row r="11" spans="1:9" ht="15">
      <c r="A11" s="16" t="s">
        <v>7</v>
      </c>
      <c r="B11" s="17" t="s">
        <v>113</v>
      </c>
      <c r="C11" s="18">
        <v>0.01</v>
      </c>
      <c r="D11" s="18" t="s">
        <v>113</v>
      </c>
      <c r="E11" s="18">
        <v>0.01</v>
      </c>
      <c r="F11" s="17" t="s">
        <v>152</v>
      </c>
      <c r="G11" s="18">
        <v>0.01</v>
      </c>
      <c r="H11" s="18" t="s">
        <v>152</v>
      </c>
      <c r="I11" s="18">
        <v>0.01</v>
      </c>
    </row>
    <row r="12" spans="1:9" ht="15">
      <c r="A12" s="16" t="s">
        <v>8</v>
      </c>
      <c r="B12" s="17">
        <v>0.1</v>
      </c>
      <c r="C12" s="18" t="s">
        <v>113</v>
      </c>
      <c r="D12" s="18">
        <v>0.1</v>
      </c>
      <c r="E12" s="18" t="s">
        <v>113</v>
      </c>
      <c r="F12" s="17">
        <v>0.1</v>
      </c>
      <c r="G12" s="18" t="s">
        <v>152</v>
      </c>
      <c r="H12" s="18">
        <v>0.1</v>
      </c>
      <c r="I12" s="18" t="s">
        <v>152</v>
      </c>
    </row>
    <row r="13" spans="1:9" ht="16.5">
      <c r="A13" s="16" t="s">
        <v>91</v>
      </c>
      <c r="B13" s="30">
        <f>B10/(B42*(4+2*11/14+1*1/14)/10)</f>
        <v>1.3466837097708284</v>
      </c>
      <c r="C13" s="31" t="s">
        <v>113</v>
      </c>
      <c r="D13" s="30">
        <f>D10/(D42*(4+2*2/14+1*1/14)/10)</f>
        <v>1.7763934426229511</v>
      </c>
      <c r="E13" s="31" t="s">
        <v>113</v>
      </c>
      <c r="F13" s="30">
        <f>F10/(F42*(4+2*11/14+1*1/14)/10)</f>
        <v>1.3466837097708284</v>
      </c>
      <c r="G13" s="31" t="s">
        <v>152</v>
      </c>
      <c r="H13" s="30">
        <f>H10/(H42*(4+2*2/14+1*1/14)/10)</f>
        <v>1.7763934426229511</v>
      </c>
      <c r="I13" s="31" t="s">
        <v>152</v>
      </c>
    </row>
    <row r="14" spans="1:9" ht="16.5">
      <c r="A14" s="16" t="s">
        <v>92</v>
      </c>
      <c r="B14" s="31" t="s">
        <v>114</v>
      </c>
      <c r="C14" s="31" t="s">
        <v>114</v>
      </c>
      <c r="D14" s="31" t="s">
        <v>114</v>
      </c>
      <c r="E14" s="31" t="s">
        <v>114</v>
      </c>
      <c r="F14" s="31" t="s">
        <v>153</v>
      </c>
      <c r="G14" s="31" t="s">
        <v>153</v>
      </c>
      <c r="H14" s="31" t="s">
        <v>153</v>
      </c>
      <c r="I14" s="31" t="s">
        <v>153</v>
      </c>
    </row>
    <row r="15" spans="1:9" ht="15">
      <c r="A15" s="16" t="s">
        <v>115</v>
      </c>
      <c r="B15" s="30">
        <v>3</v>
      </c>
      <c r="C15" s="31">
        <v>3</v>
      </c>
      <c r="D15" s="31">
        <v>3</v>
      </c>
      <c r="E15" s="31">
        <v>3</v>
      </c>
      <c r="F15" s="30">
        <v>3</v>
      </c>
      <c r="G15" s="31">
        <v>3</v>
      </c>
      <c r="H15" s="31">
        <v>3</v>
      </c>
      <c r="I15" s="31">
        <v>3</v>
      </c>
    </row>
    <row r="16" spans="1:9" ht="15">
      <c r="A16" s="16" t="s">
        <v>9</v>
      </c>
      <c r="B16" s="30">
        <v>3</v>
      </c>
      <c r="C16" s="31">
        <v>3</v>
      </c>
      <c r="D16" s="31">
        <v>3</v>
      </c>
      <c r="E16" s="31">
        <v>3</v>
      </c>
      <c r="F16" s="30">
        <v>3</v>
      </c>
      <c r="G16" s="31">
        <v>3</v>
      </c>
      <c r="H16" s="31">
        <v>3</v>
      </c>
      <c r="I16" s="31">
        <v>3</v>
      </c>
    </row>
    <row r="17" spans="1:9">
      <c r="A17" s="15" t="s">
        <v>10</v>
      </c>
      <c r="B17" s="33"/>
      <c r="C17" s="33"/>
      <c r="D17" s="33"/>
      <c r="E17" s="33"/>
      <c r="F17" s="33"/>
      <c r="G17" s="33"/>
      <c r="H17" s="33"/>
      <c r="I17" s="33"/>
    </row>
    <row r="18" spans="1:9" ht="30">
      <c r="A18" s="16" t="s">
        <v>116</v>
      </c>
      <c r="B18" s="30">
        <v>32</v>
      </c>
      <c r="C18" s="31">
        <v>32</v>
      </c>
      <c r="D18" s="31">
        <v>2</v>
      </c>
      <c r="E18" s="31">
        <v>2</v>
      </c>
      <c r="F18" s="30">
        <v>32</v>
      </c>
      <c r="G18" s="31">
        <v>32</v>
      </c>
      <c r="H18" s="31">
        <v>2</v>
      </c>
      <c r="I18" s="31">
        <v>2</v>
      </c>
    </row>
    <row r="19" spans="1:9" ht="15">
      <c r="A19" s="16" t="s">
        <v>139</v>
      </c>
      <c r="B19" s="30">
        <v>2</v>
      </c>
      <c r="C19" s="31">
        <v>2</v>
      </c>
      <c r="D19" s="31">
        <v>2</v>
      </c>
      <c r="E19" s="31">
        <v>2</v>
      </c>
      <c r="F19" s="30">
        <v>2</v>
      </c>
      <c r="G19" s="31">
        <v>2</v>
      </c>
      <c r="H19" s="31">
        <v>2</v>
      </c>
      <c r="I19" s="31">
        <v>2</v>
      </c>
    </row>
    <row r="20" spans="1:9" ht="15">
      <c r="A20" s="16" t="s">
        <v>11</v>
      </c>
      <c r="B20" s="30">
        <v>9</v>
      </c>
      <c r="C20" s="31">
        <v>9</v>
      </c>
      <c r="D20" s="31">
        <v>20</v>
      </c>
      <c r="E20" s="31">
        <v>20</v>
      </c>
      <c r="F20" s="30">
        <v>9</v>
      </c>
      <c r="G20" s="31">
        <v>9</v>
      </c>
      <c r="H20" s="31">
        <v>20</v>
      </c>
      <c r="I20" s="31">
        <v>20</v>
      </c>
    </row>
    <row r="21" spans="1:9" ht="30">
      <c r="A21" s="19" t="s">
        <v>117</v>
      </c>
      <c r="B21" s="34">
        <f t="shared" ref="B21:I21" si="0">B20+10*LOG10(B18)</f>
        <v>24.051499783199063</v>
      </c>
      <c r="C21" s="34">
        <f t="shared" si="0"/>
        <v>24.051499783199063</v>
      </c>
      <c r="D21" s="34">
        <f t="shared" si="0"/>
        <v>23.010299956639813</v>
      </c>
      <c r="E21" s="34">
        <f t="shared" si="0"/>
        <v>23.010299956639813</v>
      </c>
      <c r="F21" s="34">
        <f t="shared" si="0"/>
        <v>24.051499783199063</v>
      </c>
      <c r="G21" s="34">
        <f t="shared" si="0"/>
        <v>24.051499783199063</v>
      </c>
      <c r="H21" s="34">
        <f t="shared" si="0"/>
        <v>23.010299956639813</v>
      </c>
      <c r="I21" s="34">
        <f t="shared" si="0"/>
        <v>23.010299956639813</v>
      </c>
    </row>
    <row r="22" spans="1:9" ht="15">
      <c r="A22" s="16" t="s">
        <v>12</v>
      </c>
      <c r="B22" s="30">
        <v>5</v>
      </c>
      <c r="C22" s="31">
        <v>5</v>
      </c>
      <c r="D22" s="31">
        <v>0</v>
      </c>
      <c r="E22" s="31">
        <v>0</v>
      </c>
      <c r="F22" s="30">
        <v>5</v>
      </c>
      <c r="G22" s="31">
        <v>5</v>
      </c>
      <c r="H22" s="31">
        <v>0</v>
      </c>
      <c r="I22" s="31">
        <v>0</v>
      </c>
    </row>
    <row r="23" spans="1:9" ht="45">
      <c r="A23" s="20" t="s">
        <v>13</v>
      </c>
      <c r="B23" s="34">
        <f>IF(B18&gt;=2, 10*LOG10(B18/2), 0)</f>
        <v>12.041199826559248</v>
      </c>
      <c r="C23" s="34">
        <f t="shared" ref="C23:E23" si="1">IF(C18&gt;=2, 10*LOG10(C18/2), 0)</f>
        <v>12.041199826559248</v>
      </c>
      <c r="D23" s="34">
        <f t="shared" si="1"/>
        <v>0</v>
      </c>
      <c r="E23" s="34">
        <f t="shared" si="1"/>
        <v>0</v>
      </c>
      <c r="F23" s="34">
        <f>IF(F18&gt;=2, 10*LOG10(F18/2), 0)</f>
        <v>12.041199826559248</v>
      </c>
      <c r="G23" s="34">
        <f t="shared" ref="G23:I23" si="2">IF(G18&gt;=2, 10*LOG10(G18/2), 0)</f>
        <v>12.041199826559248</v>
      </c>
      <c r="H23" s="34">
        <f t="shared" si="2"/>
        <v>0</v>
      </c>
      <c r="I23" s="34">
        <f t="shared" si="2"/>
        <v>0</v>
      </c>
    </row>
    <row r="24" spans="1:9" ht="15">
      <c r="A24" s="16" t="s">
        <v>14</v>
      </c>
      <c r="B24" s="30">
        <v>0</v>
      </c>
      <c r="C24" s="30">
        <v>0</v>
      </c>
      <c r="D24" s="31">
        <v>0</v>
      </c>
      <c r="E24" s="31">
        <v>0</v>
      </c>
      <c r="F24" s="30">
        <v>0</v>
      </c>
      <c r="G24" s="30">
        <v>0</v>
      </c>
      <c r="H24" s="31">
        <v>0</v>
      </c>
      <c r="I24" s="31">
        <v>0</v>
      </c>
    </row>
    <row r="25" spans="1:9" ht="15">
      <c r="A25" s="16" t="s">
        <v>15</v>
      </c>
      <c r="B25" s="30">
        <v>0</v>
      </c>
      <c r="C25" s="30">
        <v>0</v>
      </c>
      <c r="D25" s="31">
        <v>0</v>
      </c>
      <c r="E25" s="31">
        <v>0</v>
      </c>
      <c r="F25" s="30">
        <v>0</v>
      </c>
      <c r="G25" s="30">
        <v>0</v>
      </c>
      <c r="H25" s="31">
        <v>0</v>
      </c>
      <c r="I25" s="31">
        <v>0</v>
      </c>
    </row>
    <row r="26" spans="1:9" ht="30">
      <c r="A26" s="16" t="s">
        <v>16</v>
      </c>
      <c r="B26" s="30">
        <v>3</v>
      </c>
      <c r="C26" s="30">
        <v>3</v>
      </c>
      <c r="D26" s="30">
        <v>1</v>
      </c>
      <c r="E26" s="30">
        <v>1</v>
      </c>
      <c r="F26" s="30">
        <v>3</v>
      </c>
      <c r="G26" s="30">
        <v>3</v>
      </c>
      <c r="H26" s="30">
        <v>1</v>
      </c>
      <c r="I26" s="30">
        <v>1</v>
      </c>
    </row>
    <row r="27" spans="1:9" ht="15">
      <c r="A27" s="21" t="s">
        <v>17</v>
      </c>
      <c r="B27" s="35">
        <f t="shared" ref="B27:I27" si="3">B21+B22+B23+B24-B26</f>
        <v>38.092699609758313</v>
      </c>
      <c r="C27" s="35">
        <f t="shared" si="3"/>
        <v>38.092699609758313</v>
      </c>
      <c r="D27" s="35">
        <f>D21+D22+D23+D24-D26</f>
        <v>22.010299956639813</v>
      </c>
      <c r="E27" s="35">
        <f t="shared" si="3"/>
        <v>22.010299956639813</v>
      </c>
      <c r="F27" s="35">
        <f t="shared" si="3"/>
        <v>38.092699609758313</v>
      </c>
      <c r="G27" s="35">
        <f t="shared" si="3"/>
        <v>38.092699609758313</v>
      </c>
      <c r="H27" s="35">
        <f>H21+H22+H23+H24-H26</f>
        <v>22.010299956639813</v>
      </c>
      <c r="I27" s="35">
        <f t="shared" si="3"/>
        <v>22.010299956639813</v>
      </c>
    </row>
    <row r="28" spans="1:9" ht="15">
      <c r="A28" s="21" t="s">
        <v>18</v>
      </c>
      <c r="B28" s="35">
        <f t="shared" ref="B28:I28" si="4">B21+B22+B23-B25-B26</f>
        <v>38.092699609758313</v>
      </c>
      <c r="C28" s="35">
        <f t="shared" si="4"/>
        <v>38.092699609758313</v>
      </c>
      <c r="D28" s="35">
        <f t="shared" si="4"/>
        <v>22.010299956639813</v>
      </c>
      <c r="E28" s="35">
        <f t="shared" si="4"/>
        <v>22.010299956639813</v>
      </c>
      <c r="F28" s="35">
        <f t="shared" si="4"/>
        <v>38.092699609758313</v>
      </c>
      <c r="G28" s="35">
        <f t="shared" si="4"/>
        <v>38.092699609758313</v>
      </c>
      <c r="H28" s="35">
        <f t="shared" si="4"/>
        <v>22.010299956639813</v>
      </c>
      <c r="I28" s="35">
        <f t="shared" si="4"/>
        <v>22.010299956639813</v>
      </c>
    </row>
    <row r="29" spans="1:9">
      <c r="A29" s="15" t="s">
        <v>19</v>
      </c>
      <c r="B29" s="33"/>
      <c r="C29" s="33"/>
      <c r="D29" s="33"/>
      <c r="E29" s="33"/>
      <c r="F29" s="33"/>
      <c r="G29" s="33"/>
      <c r="H29" s="33"/>
      <c r="I29" s="33"/>
    </row>
    <row r="30" spans="1:9" ht="30">
      <c r="A30" s="16" t="s">
        <v>110</v>
      </c>
      <c r="B30" s="30">
        <v>4</v>
      </c>
      <c r="C30" s="30">
        <v>4</v>
      </c>
      <c r="D30" s="31">
        <v>32</v>
      </c>
      <c r="E30" s="31">
        <v>32</v>
      </c>
      <c r="F30" s="30">
        <v>4</v>
      </c>
      <c r="G30" s="30">
        <v>4</v>
      </c>
      <c r="H30" s="31">
        <v>32</v>
      </c>
      <c r="I30" s="31">
        <v>32</v>
      </c>
    </row>
    <row r="31" spans="1:9" ht="15">
      <c r="A31" s="16" t="s">
        <v>140</v>
      </c>
      <c r="B31" s="30">
        <v>2</v>
      </c>
      <c r="C31" s="30">
        <v>2</v>
      </c>
      <c r="D31" s="31">
        <v>2</v>
      </c>
      <c r="E31" s="31">
        <v>2</v>
      </c>
      <c r="F31" s="30">
        <v>2</v>
      </c>
      <c r="G31" s="30">
        <v>2</v>
      </c>
      <c r="H31" s="31">
        <v>2</v>
      </c>
      <c r="I31" s="31">
        <v>2</v>
      </c>
    </row>
    <row r="32" spans="1:9" ht="15">
      <c r="A32" s="16" t="s">
        <v>20</v>
      </c>
      <c r="B32" s="30">
        <v>0</v>
      </c>
      <c r="C32" s="30">
        <v>0</v>
      </c>
      <c r="D32" s="31">
        <v>5</v>
      </c>
      <c r="E32" s="31">
        <v>5</v>
      </c>
      <c r="F32" s="30">
        <v>0</v>
      </c>
      <c r="G32" s="30">
        <v>0</v>
      </c>
      <c r="H32" s="31">
        <v>5</v>
      </c>
      <c r="I32" s="31">
        <v>5</v>
      </c>
    </row>
    <row r="33" spans="1:9" ht="28.5">
      <c r="A33" s="22" t="s">
        <v>144</v>
      </c>
      <c r="B33" s="36">
        <f t="shared" ref="B33:I33" si="5">IF(B30&gt;=2, 10*LOG10(B30/2), 0)</f>
        <v>3.0102999566398121</v>
      </c>
      <c r="C33" s="36">
        <f t="shared" si="5"/>
        <v>3.0102999566398121</v>
      </c>
      <c r="D33" s="36">
        <f t="shared" si="5"/>
        <v>12.041199826559248</v>
      </c>
      <c r="E33" s="36">
        <f t="shared" si="5"/>
        <v>12.041199826559248</v>
      </c>
      <c r="F33" s="36">
        <f t="shared" si="5"/>
        <v>3.0102999566398121</v>
      </c>
      <c r="G33" s="36">
        <f t="shared" si="5"/>
        <v>3.0102999566398121</v>
      </c>
      <c r="H33" s="36">
        <f t="shared" si="5"/>
        <v>12.041199826559248</v>
      </c>
      <c r="I33" s="36">
        <f t="shared" si="5"/>
        <v>12.041199826559248</v>
      </c>
    </row>
    <row r="34" spans="1:9" ht="30">
      <c r="A34" s="16" t="s">
        <v>149</v>
      </c>
      <c r="B34" s="30">
        <v>1</v>
      </c>
      <c r="C34" s="30">
        <v>1</v>
      </c>
      <c r="D34" s="30">
        <v>3</v>
      </c>
      <c r="E34" s="30">
        <v>3</v>
      </c>
      <c r="F34" s="30">
        <v>1</v>
      </c>
      <c r="G34" s="30">
        <v>1</v>
      </c>
      <c r="H34" s="30">
        <v>3</v>
      </c>
      <c r="I34" s="30">
        <v>3</v>
      </c>
    </row>
    <row r="35" spans="1:9" ht="15">
      <c r="A35" s="16" t="s">
        <v>22</v>
      </c>
      <c r="B35" s="31">
        <v>7</v>
      </c>
      <c r="C35" s="31">
        <v>7</v>
      </c>
      <c r="D35" s="31">
        <v>5</v>
      </c>
      <c r="E35" s="31">
        <v>5</v>
      </c>
      <c r="F35" s="31">
        <v>7</v>
      </c>
      <c r="G35" s="31">
        <v>7</v>
      </c>
      <c r="H35" s="31">
        <v>5</v>
      </c>
      <c r="I35" s="31">
        <v>5</v>
      </c>
    </row>
    <row r="36" spans="1:9" ht="15">
      <c r="A36" s="16" t="s">
        <v>23</v>
      </c>
      <c r="B36" s="31">
        <v>-174</v>
      </c>
      <c r="C36" s="31">
        <v>-174</v>
      </c>
      <c r="D36" s="31">
        <v>-174</v>
      </c>
      <c r="E36" s="31">
        <v>-174</v>
      </c>
      <c r="F36" s="31">
        <v>-174</v>
      </c>
      <c r="G36" s="31">
        <v>-174</v>
      </c>
      <c r="H36" s="31">
        <v>-174</v>
      </c>
      <c r="I36" s="31">
        <v>-174</v>
      </c>
    </row>
    <row r="37" spans="1:9" ht="15">
      <c r="A37" s="16" t="s">
        <v>204</v>
      </c>
      <c r="B37" s="30" t="s">
        <v>113</v>
      </c>
      <c r="C37" s="31">
        <v>-174</v>
      </c>
      <c r="D37" s="31" t="s">
        <v>113</v>
      </c>
      <c r="E37" s="31">
        <v>-174.9</v>
      </c>
      <c r="F37" s="30" t="s">
        <v>50</v>
      </c>
      <c r="G37" s="31">
        <v>-174</v>
      </c>
      <c r="H37" s="31" t="s">
        <v>152</v>
      </c>
      <c r="I37" s="31">
        <v>-174.9</v>
      </c>
    </row>
    <row r="38" spans="1:9" ht="15">
      <c r="A38" s="16" t="s">
        <v>24</v>
      </c>
      <c r="B38" s="30">
        <v>-174</v>
      </c>
      <c r="C38" s="31" t="s">
        <v>113</v>
      </c>
      <c r="D38" s="31">
        <v>-174.9</v>
      </c>
      <c r="E38" s="31" t="s">
        <v>113</v>
      </c>
      <c r="F38" s="30">
        <v>-174</v>
      </c>
      <c r="G38" s="31" t="s">
        <v>152</v>
      </c>
      <c r="H38" s="31">
        <v>-174.9</v>
      </c>
      <c r="I38" s="31" t="s">
        <v>152</v>
      </c>
    </row>
    <row r="39" spans="1:9" ht="30">
      <c r="A39" s="23" t="s">
        <v>205</v>
      </c>
      <c r="B39" s="35" t="s">
        <v>150</v>
      </c>
      <c r="C39" s="35">
        <f t="shared" ref="C39:E39" si="6">10*LOG10(10^((C35+C36)/10)+10^(C37/10))</f>
        <v>-166.20990250347435</v>
      </c>
      <c r="D39" s="35" t="s">
        <v>150</v>
      </c>
      <c r="E39" s="35">
        <f t="shared" si="6"/>
        <v>-168.00651048203736</v>
      </c>
      <c r="F39" s="35" t="s">
        <v>152</v>
      </c>
      <c r="G39" s="35">
        <f t="shared" ref="G39:I39" si="7">10*LOG10(10^((G35+G36)/10)+10^(G37/10))</f>
        <v>-166.20990250347435</v>
      </c>
      <c r="H39" s="35" t="s">
        <v>152</v>
      </c>
      <c r="I39" s="35">
        <f t="shared" si="7"/>
        <v>-168.00651048203736</v>
      </c>
    </row>
    <row r="40" spans="1:9" ht="30">
      <c r="A40" s="23" t="s">
        <v>206</v>
      </c>
      <c r="B40" s="35">
        <f t="shared" ref="B40:D40" si="8">10*LOG10(10^((B35+B36)/10)+10^(B38/10))</f>
        <v>-166.20990250347435</v>
      </c>
      <c r="C40" s="35" t="s">
        <v>150</v>
      </c>
      <c r="D40" s="35">
        <f t="shared" si="8"/>
        <v>-168.00651048203736</v>
      </c>
      <c r="E40" s="35" t="s">
        <v>150</v>
      </c>
      <c r="F40" s="35">
        <f t="shared" ref="F40:H40" si="9">10*LOG10(10^((F35+F36)/10)+10^(F38/10))</f>
        <v>-166.20990250347435</v>
      </c>
      <c r="G40" s="35" t="s">
        <v>152</v>
      </c>
      <c r="H40" s="35">
        <f t="shared" si="9"/>
        <v>-168.00651048203736</v>
      </c>
      <c r="I40" s="35" t="s">
        <v>152</v>
      </c>
    </row>
    <row r="41" spans="1:9" ht="30">
      <c r="A41" s="16" t="s">
        <v>25</v>
      </c>
      <c r="B41" s="30" t="s">
        <v>113</v>
      </c>
      <c r="C41" s="30">
        <f>MaxN_RB!F6*12*15*1000</f>
        <v>19080000</v>
      </c>
      <c r="D41" s="31" t="s">
        <v>113</v>
      </c>
      <c r="E41" s="31">
        <f>1*12*30*1000</f>
        <v>360000</v>
      </c>
      <c r="F41" s="30" t="s">
        <v>152</v>
      </c>
      <c r="G41" s="30">
        <f>MaxN_RB!F7*12*30*1000</f>
        <v>18360000</v>
      </c>
      <c r="H41" s="31" t="s">
        <v>152</v>
      </c>
      <c r="I41" s="31">
        <f>1*12*30*1000</f>
        <v>360000</v>
      </c>
    </row>
    <row r="42" spans="1:9" ht="30">
      <c r="A42" s="16" t="s">
        <v>26</v>
      </c>
      <c r="B42" s="30">
        <f>MaxN_RB!$F$7*12*30*1000</f>
        <v>18360000</v>
      </c>
      <c r="C42" s="31" t="s">
        <v>113</v>
      </c>
      <c r="D42" s="30">
        <f>4*12*30*1000</f>
        <v>1440000</v>
      </c>
      <c r="E42" s="31" t="s">
        <v>113</v>
      </c>
      <c r="F42" s="30">
        <f>MaxN_RB!F7*12*30*1000</f>
        <v>18360000</v>
      </c>
      <c r="G42" s="31" t="s">
        <v>152</v>
      </c>
      <c r="H42" s="30">
        <f>4*12*30*1000</f>
        <v>1440000</v>
      </c>
      <c r="I42" s="31" t="s">
        <v>154</v>
      </c>
    </row>
    <row r="43" spans="1:9" ht="15">
      <c r="A43" s="21" t="s">
        <v>27</v>
      </c>
      <c r="B43" s="35" t="s">
        <v>150</v>
      </c>
      <c r="C43" s="35">
        <f t="shared" ref="C43:E43" si="10">C39+10*LOG10(C41)</f>
        <v>-93.404118799793594</v>
      </c>
      <c r="D43" s="35" t="s">
        <v>150</v>
      </c>
      <c r="E43" s="35">
        <f t="shared" si="10"/>
        <v>-112.44348547436448</v>
      </c>
      <c r="F43" s="35" t="s">
        <v>154</v>
      </c>
      <c r="G43" s="35">
        <f t="shared" ref="G43:I43" si="11">G39+10*LOG10(G41)</f>
        <v>-93.57117573482212</v>
      </c>
      <c r="H43" s="35" t="s">
        <v>154</v>
      </c>
      <c r="I43" s="35">
        <f t="shared" si="11"/>
        <v>-112.44348547436448</v>
      </c>
    </row>
    <row r="44" spans="1:9" ht="15">
      <c r="A44" s="21" t="s">
        <v>28</v>
      </c>
      <c r="B44" s="35">
        <f>B40+10*LOG10(B42)</f>
        <v>-93.57117573482212</v>
      </c>
      <c r="C44" s="35" t="s">
        <v>150</v>
      </c>
      <c r="D44" s="35">
        <f>D40+10*LOG10(D42)</f>
        <v>-106.42288556108485</v>
      </c>
      <c r="E44" s="35" t="s">
        <v>150</v>
      </c>
      <c r="F44" s="35">
        <f>F40+10*LOG10(F42)</f>
        <v>-93.57117573482212</v>
      </c>
      <c r="G44" s="35" t="s">
        <v>154</v>
      </c>
      <c r="H44" s="35">
        <f>H40+10*LOG10(H42)</f>
        <v>-106.42288556108485</v>
      </c>
      <c r="I44" s="35" t="s">
        <v>154</v>
      </c>
    </row>
    <row r="45" spans="1:9" ht="15">
      <c r="A45" s="16" t="s">
        <v>29</v>
      </c>
      <c r="B45" s="30" t="s">
        <v>113</v>
      </c>
      <c r="C45" s="68">
        <v>-4.8</v>
      </c>
      <c r="D45" s="30" t="s">
        <v>113</v>
      </c>
      <c r="E45" s="68">
        <v>-8</v>
      </c>
      <c r="F45" s="68" t="s">
        <v>154</v>
      </c>
      <c r="G45" s="68">
        <v>-9.4</v>
      </c>
      <c r="H45" s="68" t="s">
        <v>152</v>
      </c>
      <c r="I45" s="68">
        <v>-10.199999999999999</v>
      </c>
    </row>
    <row r="46" spans="1:9" ht="15">
      <c r="A46" s="16" t="s">
        <v>30</v>
      </c>
      <c r="B46" s="68">
        <v>6.3</v>
      </c>
      <c r="C46" s="30" t="s">
        <v>113</v>
      </c>
      <c r="D46" s="68">
        <v>14.24</v>
      </c>
      <c r="E46" s="30" t="s">
        <v>113</v>
      </c>
      <c r="F46" s="68">
        <v>3.5</v>
      </c>
      <c r="G46" s="68" t="s">
        <v>154</v>
      </c>
      <c r="H46" s="68">
        <v>8.9499999999999993</v>
      </c>
      <c r="I46" s="68" t="s">
        <v>154</v>
      </c>
    </row>
    <row r="47" spans="1:9" ht="15">
      <c r="A47" s="16" t="s">
        <v>31</v>
      </c>
      <c r="B47" s="30">
        <v>2</v>
      </c>
      <c r="C47" s="31">
        <v>2</v>
      </c>
      <c r="D47" s="31">
        <v>2</v>
      </c>
      <c r="E47" s="31">
        <v>2</v>
      </c>
      <c r="F47" s="30">
        <v>2</v>
      </c>
      <c r="G47" s="31">
        <v>2</v>
      </c>
      <c r="H47" s="31">
        <v>2</v>
      </c>
      <c r="I47" s="31">
        <v>2</v>
      </c>
    </row>
    <row r="48" spans="1:9" ht="15">
      <c r="A48" s="16" t="s">
        <v>32</v>
      </c>
      <c r="B48" s="30" t="s">
        <v>113</v>
      </c>
      <c r="C48" s="31">
        <v>0</v>
      </c>
      <c r="D48" s="31" t="s">
        <v>113</v>
      </c>
      <c r="E48" s="31">
        <v>0</v>
      </c>
      <c r="F48" s="30" t="s">
        <v>154</v>
      </c>
      <c r="G48" s="31">
        <v>0</v>
      </c>
      <c r="H48" s="31" t="s">
        <v>154</v>
      </c>
      <c r="I48" s="31">
        <v>0</v>
      </c>
    </row>
    <row r="49" spans="1:9" ht="15">
      <c r="A49" s="16" t="s">
        <v>33</v>
      </c>
      <c r="B49" s="30">
        <v>0.5</v>
      </c>
      <c r="C49" s="31" t="s">
        <v>113</v>
      </c>
      <c r="D49" s="31">
        <v>0.5</v>
      </c>
      <c r="E49" s="31" t="s">
        <v>113</v>
      </c>
      <c r="F49" s="30">
        <v>0.5</v>
      </c>
      <c r="G49" s="31" t="s">
        <v>154</v>
      </c>
      <c r="H49" s="31">
        <v>0.5</v>
      </c>
      <c r="I49" s="31" t="s">
        <v>154</v>
      </c>
    </row>
    <row r="50" spans="1:9" ht="30">
      <c r="A50" s="23" t="s">
        <v>44</v>
      </c>
      <c r="B50" s="35" t="s">
        <v>150</v>
      </c>
      <c r="C50" s="35">
        <f t="shared" ref="C50:E50" si="12">C43+C45+C47-C48</f>
        <v>-96.204118799793591</v>
      </c>
      <c r="D50" s="35" t="s">
        <v>150</v>
      </c>
      <c r="E50" s="35">
        <f t="shared" si="12"/>
        <v>-118.44348547436448</v>
      </c>
      <c r="F50" s="35" t="s">
        <v>155</v>
      </c>
      <c r="G50" s="35">
        <f t="shared" ref="G50:I50" si="13">G43+G45+G47-G48</f>
        <v>-100.97117573482213</v>
      </c>
      <c r="H50" s="35" t="s">
        <v>50</v>
      </c>
      <c r="I50" s="35">
        <f t="shared" si="13"/>
        <v>-120.64348547436448</v>
      </c>
    </row>
    <row r="51" spans="1:9" ht="30">
      <c r="A51" s="23" t="s">
        <v>45</v>
      </c>
      <c r="B51" s="35">
        <f t="shared" ref="B51:D51" si="14">B44+B46+B47-B49</f>
        <v>-85.771175734822123</v>
      </c>
      <c r="C51" s="35" t="s">
        <v>150</v>
      </c>
      <c r="D51" s="35">
        <f t="shared" si="14"/>
        <v>-90.682885561084859</v>
      </c>
      <c r="E51" s="35" t="s">
        <v>150</v>
      </c>
      <c r="F51" s="35">
        <f t="shared" ref="F51:H51" si="15">F44+F46+F47-F49</f>
        <v>-88.57117573482212</v>
      </c>
      <c r="G51" s="35" t="s">
        <v>154</v>
      </c>
      <c r="H51" s="35">
        <f t="shared" si="15"/>
        <v>-95.972885561084851</v>
      </c>
      <c r="I51" s="35" t="s">
        <v>154</v>
      </c>
    </row>
    <row r="52" spans="1:9" ht="30">
      <c r="A52" s="23" t="s">
        <v>89</v>
      </c>
      <c r="B52" s="35" t="s">
        <v>150</v>
      </c>
      <c r="C52" s="35">
        <f t="shared" ref="C52:E52" si="16">C27+C32+C33-C50</f>
        <v>137.30711836619173</v>
      </c>
      <c r="D52" s="35" t="s">
        <v>150</v>
      </c>
      <c r="E52" s="35">
        <f t="shared" si="16"/>
        <v>157.49498525756354</v>
      </c>
      <c r="F52" s="35" t="s">
        <v>50</v>
      </c>
      <c r="G52" s="35">
        <f t="shared" ref="G52:I52" si="17">G27+G32+G33-G50</f>
        <v>142.07417530122024</v>
      </c>
      <c r="H52" s="35" t="s">
        <v>154</v>
      </c>
      <c r="I52" s="35">
        <f t="shared" si="17"/>
        <v>159.69498525756353</v>
      </c>
    </row>
    <row r="53" spans="1:9" ht="30">
      <c r="A53" s="23" t="s">
        <v>90</v>
      </c>
      <c r="B53" s="35">
        <f t="shared" ref="B53:D53" si="18">B28+B32+B33-B51</f>
        <v>126.87417530122025</v>
      </c>
      <c r="C53" s="35" t="s">
        <v>150</v>
      </c>
      <c r="D53" s="35">
        <f t="shared" si="18"/>
        <v>129.73438534428391</v>
      </c>
      <c r="E53" s="35" t="s">
        <v>150</v>
      </c>
      <c r="F53" s="35">
        <f t="shared" ref="F53:H53" si="19">F28+F32+F33-F51</f>
        <v>129.67417530122026</v>
      </c>
      <c r="G53" s="35" t="s">
        <v>154</v>
      </c>
      <c r="H53" s="35">
        <f t="shared" si="19"/>
        <v>135.02438534428393</v>
      </c>
      <c r="I53" s="35" t="s">
        <v>152</v>
      </c>
    </row>
    <row r="54" spans="1:9">
      <c r="A54" s="15" t="s">
        <v>34</v>
      </c>
      <c r="B54" s="33"/>
      <c r="C54" s="33"/>
      <c r="D54" s="33"/>
      <c r="E54" s="33"/>
      <c r="F54" s="33"/>
      <c r="G54" s="33"/>
      <c r="H54" s="33"/>
      <c r="I54" s="33"/>
    </row>
    <row r="55" spans="1:9" ht="15">
      <c r="A55" s="16" t="s">
        <v>35</v>
      </c>
      <c r="B55" s="31">
        <v>4</v>
      </c>
      <c r="C55" s="31">
        <v>4</v>
      </c>
      <c r="D55" s="31">
        <v>4</v>
      </c>
      <c r="E55" s="31">
        <v>4</v>
      </c>
      <c r="F55" s="67">
        <v>3</v>
      </c>
      <c r="G55" s="67">
        <v>3</v>
      </c>
      <c r="H55" s="67">
        <v>3</v>
      </c>
      <c r="I55" s="67">
        <v>3</v>
      </c>
    </row>
    <row r="56" spans="1:9" ht="30">
      <c r="A56" s="73" t="s">
        <v>36</v>
      </c>
      <c r="B56" s="74" t="s">
        <v>113</v>
      </c>
      <c r="C56" s="30">
        <v>2.8</v>
      </c>
      <c r="D56" s="74" t="s">
        <v>113</v>
      </c>
      <c r="E56" s="30">
        <v>2.8</v>
      </c>
      <c r="F56" s="79" t="s">
        <v>154</v>
      </c>
      <c r="G56" s="68">
        <v>2.98</v>
      </c>
      <c r="H56" s="79" t="s">
        <v>152</v>
      </c>
      <c r="I56" s="68">
        <v>2.98</v>
      </c>
    </row>
    <row r="57" spans="1:9" ht="30">
      <c r="A57" s="73" t="s">
        <v>37</v>
      </c>
      <c r="B57" s="30">
        <v>0.91</v>
      </c>
      <c r="C57" s="74" t="s">
        <v>113</v>
      </c>
      <c r="D57" s="30">
        <v>0.91</v>
      </c>
      <c r="E57" s="75" t="s">
        <v>113</v>
      </c>
      <c r="F57" s="68">
        <v>1.72</v>
      </c>
      <c r="G57" s="79" t="s">
        <v>152</v>
      </c>
      <c r="H57" s="68">
        <v>1.72</v>
      </c>
      <c r="I57" s="80" t="s">
        <v>152</v>
      </c>
    </row>
    <row r="58" spans="1:9" ht="15">
      <c r="A58" s="16" t="s">
        <v>38</v>
      </c>
      <c r="B58" s="31">
        <v>0</v>
      </c>
      <c r="C58" s="31">
        <v>0</v>
      </c>
      <c r="D58" s="31">
        <v>0</v>
      </c>
      <c r="E58" s="31">
        <v>0</v>
      </c>
      <c r="F58" s="31">
        <v>0</v>
      </c>
      <c r="G58" s="31">
        <v>0</v>
      </c>
      <c r="H58" s="31">
        <v>0</v>
      </c>
      <c r="I58" s="31">
        <v>0</v>
      </c>
    </row>
    <row r="59" spans="1:9" ht="15">
      <c r="A59" s="73" t="s">
        <v>39</v>
      </c>
      <c r="B59" s="30">
        <v>0</v>
      </c>
      <c r="C59" s="30">
        <v>0</v>
      </c>
      <c r="D59" s="30">
        <v>0</v>
      </c>
      <c r="E59" s="30">
        <v>0</v>
      </c>
      <c r="F59" s="30">
        <v>0</v>
      </c>
      <c r="G59" s="30">
        <v>0</v>
      </c>
      <c r="H59" s="30">
        <v>0</v>
      </c>
      <c r="I59" s="30">
        <v>0</v>
      </c>
    </row>
    <row r="60" spans="1:9" ht="15">
      <c r="A60" s="16" t="s">
        <v>40</v>
      </c>
      <c r="B60" s="31">
        <v>0</v>
      </c>
      <c r="C60" s="31">
        <v>0</v>
      </c>
      <c r="D60" s="31">
        <v>0</v>
      </c>
      <c r="E60" s="31">
        <v>0</v>
      </c>
      <c r="F60" s="31">
        <v>0</v>
      </c>
      <c r="G60" s="31">
        <v>0</v>
      </c>
      <c r="H60" s="31">
        <v>0</v>
      </c>
      <c r="I60" s="31">
        <v>0</v>
      </c>
    </row>
    <row r="61" spans="1:9" ht="30">
      <c r="A61" s="23" t="s">
        <v>118</v>
      </c>
      <c r="B61" s="35" t="s">
        <v>150</v>
      </c>
      <c r="C61" s="35">
        <f>C52-C56+C58-C59+C60-C34</f>
        <v>133.50711836619172</v>
      </c>
      <c r="D61" s="35" t="s">
        <v>150</v>
      </c>
      <c r="E61" s="35">
        <f>E52-E56+E58-E59+E60-E34</f>
        <v>151.69498525756353</v>
      </c>
      <c r="F61" s="35" t="s">
        <v>154</v>
      </c>
      <c r="G61" s="35">
        <f>G52-G56+G58-G59+G60-G34</f>
        <v>138.09417530122025</v>
      </c>
      <c r="H61" s="35" t="s">
        <v>154</v>
      </c>
      <c r="I61" s="35">
        <f>I52-I56+I58-I59+I60-I34</f>
        <v>153.71498525756354</v>
      </c>
    </row>
    <row r="62" spans="1:9" ht="30">
      <c r="A62" s="23" t="s">
        <v>46</v>
      </c>
      <c r="B62" s="35">
        <f>B53-B57+B58-B59+B60-B34</f>
        <v>124.96417530122025</v>
      </c>
      <c r="C62" s="35" t="s">
        <v>150</v>
      </c>
      <c r="D62" s="35">
        <f>D53-D57+D58-D59+D60-D34</f>
        <v>125.82438534428391</v>
      </c>
      <c r="E62" s="35" t="s">
        <v>150</v>
      </c>
      <c r="F62" s="35">
        <f>F53-F57+F58-F59+F60-F34</f>
        <v>126.95417530122026</v>
      </c>
      <c r="G62" s="35" t="s">
        <v>152</v>
      </c>
      <c r="H62" s="35">
        <f>H53-H57+H58-H59+H60-H34</f>
        <v>130.30438534428393</v>
      </c>
      <c r="I62" s="35" t="s">
        <v>152</v>
      </c>
    </row>
    <row r="63" spans="1:9">
      <c r="A63" s="15" t="s">
        <v>41</v>
      </c>
      <c r="B63" s="33"/>
      <c r="C63" s="33"/>
      <c r="D63" s="33"/>
      <c r="E63" s="33"/>
      <c r="F63" s="33"/>
      <c r="G63" s="33"/>
      <c r="H63" s="33"/>
      <c r="I63" s="33"/>
    </row>
    <row r="64" spans="1:9" ht="30">
      <c r="A64" s="24" t="s">
        <v>42</v>
      </c>
      <c r="B64" s="31" t="s">
        <v>113</v>
      </c>
      <c r="C64" s="31">
        <f>10^((C61-11.5-20*LOG10(C$4))/43.3)</f>
        <v>346.44045769166104</v>
      </c>
      <c r="D64" s="31" t="s">
        <v>113</v>
      </c>
      <c r="E64" s="31">
        <f>10^((E61-11.5-20*LOG10(E$4))/43.3)</f>
        <v>911.32171538329658</v>
      </c>
      <c r="F64" s="31" t="s">
        <v>155</v>
      </c>
      <c r="G64" s="31">
        <f>10^((G61-11.5-20*LOG10(G$4))/43.3)</f>
        <v>442.14554497648703</v>
      </c>
      <c r="H64" s="31" t="s">
        <v>50</v>
      </c>
      <c r="I64" s="31">
        <f>10^((I61-11.5-20*LOG10(I$4))/43.3)</f>
        <v>1014.6657222880842</v>
      </c>
    </row>
    <row r="65" spans="1:9" ht="30">
      <c r="A65" s="24" t="s">
        <v>43</v>
      </c>
      <c r="B65" s="31">
        <f>10^((B62-11.5-20*LOG10(B$4))/43.3)</f>
        <v>219.95406726128317</v>
      </c>
      <c r="C65" s="31" t="s">
        <v>113</v>
      </c>
      <c r="D65" s="31">
        <f>10^((D62-11.5-20*LOG10(D$4))/43.3)</f>
        <v>230.24927949247808</v>
      </c>
      <c r="E65" s="31" t="s">
        <v>113</v>
      </c>
      <c r="F65" s="31">
        <f>10^((F62-11.5-20*LOG10(F$4))/43.3)</f>
        <v>244.50650996464879</v>
      </c>
      <c r="G65" s="31" t="s">
        <v>152</v>
      </c>
      <c r="H65" s="31">
        <f>10^((H62-11.5-20*LOG10(H$4))/43.3)</f>
        <v>292.18807222957889</v>
      </c>
      <c r="I65" s="31" t="s">
        <v>152</v>
      </c>
    </row>
    <row r="66" spans="1:9" ht="18">
      <c r="A66" s="24" t="s">
        <v>94</v>
      </c>
      <c r="B66" s="31" t="s">
        <v>113</v>
      </c>
      <c r="C66" s="31">
        <f>PI()*(C64)^2</f>
        <v>377057.06274013745</v>
      </c>
      <c r="D66" s="31" t="s">
        <v>113</v>
      </c>
      <c r="E66" s="31">
        <f>PI()*(E64)^2</f>
        <v>2609115.5348207536</v>
      </c>
      <c r="F66" s="31" t="s">
        <v>154</v>
      </c>
      <c r="G66" s="31">
        <f>PI()*(G64)^2</f>
        <v>614158.3765628885</v>
      </c>
      <c r="H66" s="31" t="s">
        <v>50</v>
      </c>
      <c r="I66" s="31">
        <f>PI()*(I64)^2</f>
        <v>3234415.8088509515</v>
      </c>
    </row>
    <row r="67" spans="1:9" ht="18">
      <c r="A67" s="24" t="s">
        <v>95</v>
      </c>
      <c r="B67" s="31">
        <f>PI()*(B65)^2</f>
        <v>151989.59820194467</v>
      </c>
      <c r="C67" s="31" t="s">
        <v>113</v>
      </c>
      <c r="D67" s="31">
        <f>PI()*(D65)^2</f>
        <v>166550.68852054072</v>
      </c>
      <c r="E67" s="31" t="s">
        <v>113</v>
      </c>
      <c r="F67" s="31">
        <f>PI()*(F65)^2</f>
        <v>187815.1952232304</v>
      </c>
      <c r="G67" s="31" t="s">
        <v>156</v>
      </c>
      <c r="H67" s="31">
        <f>PI()*(H65)^2</f>
        <v>268209.9213969846</v>
      </c>
      <c r="I67" s="31" t="s">
        <v>154</v>
      </c>
    </row>
    <row r="69" spans="1:9">
      <c r="F69" s="84"/>
      <c r="G69" s="84"/>
      <c r="H69" s="84"/>
      <c r="I69" s="84"/>
    </row>
  </sheetData>
  <mergeCells count="4">
    <mergeCell ref="B1:C1"/>
    <mergeCell ref="D1:E1"/>
    <mergeCell ref="F1:G1"/>
    <mergeCell ref="H1:I1"/>
  </mergeCells>
  <phoneticPr fontId="1" type="noConversion"/>
  <dataValidations count="1">
    <dataValidation type="list" allowBlank="1" showInputMessage="1" showErrorMessage="1" sqref="D34:E34 B26:C26 H34:I34 F26:G26">
      <formula1>"0,3"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85" zoomScaleNormal="85" workbookViewId="0">
      <pane xSplit="1" ySplit="2" topLeftCell="B3" activePane="bottomRight" state="frozen"/>
      <selection pane="topRight" activeCell="B1" sqref="B1"/>
      <selection pane="bottomLeft" activeCell="A3" sqref="A3"/>
      <selection pane="bottomRight" activeCell="D43" sqref="D43"/>
    </sheetView>
  </sheetViews>
  <sheetFormatPr defaultColWidth="8.875" defaultRowHeight="14.25"/>
  <cols>
    <col min="1" max="1" width="62.125" style="25" bestFit="1" customWidth="1"/>
    <col min="2" max="2" width="15.375" style="38" bestFit="1" customWidth="1"/>
    <col min="3" max="3" width="11.875" style="38" bestFit="1" customWidth="1"/>
    <col min="4" max="4" width="13.375" style="38" customWidth="1"/>
    <col min="5" max="5" width="13.875" style="38" bestFit="1" customWidth="1"/>
    <col min="6" max="6" width="11" style="42" bestFit="1" customWidth="1"/>
    <col min="7" max="7" width="11.625" style="42" bestFit="1" customWidth="1"/>
    <col min="8" max="8" width="15.125" style="42" customWidth="1"/>
    <col min="9" max="9" width="15.625" style="42" customWidth="1"/>
    <col min="10" max="10" width="12.625" customWidth="1"/>
    <col min="11" max="12" width="11.625" bestFit="1" customWidth="1"/>
    <col min="13" max="15" width="11.625" customWidth="1"/>
    <col min="16" max="16" width="13.125" customWidth="1"/>
    <col min="17" max="17" width="11.625" customWidth="1"/>
  </cols>
  <sheetData>
    <row r="1" spans="1:17">
      <c r="A1" s="13" t="s">
        <v>0</v>
      </c>
      <c r="B1" s="139" t="s">
        <v>121</v>
      </c>
      <c r="C1" s="139"/>
      <c r="D1" s="139"/>
      <c r="E1" s="139"/>
      <c r="F1" s="139" t="s">
        <v>122</v>
      </c>
      <c r="G1" s="139"/>
      <c r="H1" s="139"/>
      <c r="I1" s="139"/>
      <c r="J1" s="139" t="s">
        <v>47</v>
      </c>
      <c r="K1" s="139"/>
      <c r="L1" s="139"/>
      <c r="M1" s="139"/>
      <c r="N1" s="139" t="s">
        <v>48</v>
      </c>
      <c r="O1" s="139"/>
      <c r="P1" s="139"/>
      <c r="Q1" s="139"/>
    </row>
    <row r="2" spans="1:17" ht="33" customHeight="1">
      <c r="A2" s="13"/>
      <c r="B2" s="39" t="s">
        <v>207</v>
      </c>
      <c r="C2" s="39" t="s">
        <v>215</v>
      </c>
      <c r="D2" s="39" t="s">
        <v>216</v>
      </c>
      <c r="E2" s="39" t="s">
        <v>217</v>
      </c>
      <c r="F2" s="39" t="s">
        <v>209</v>
      </c>
      <c r="G2" s="39" t="s">
        <v>210</v>
      </c>
      <c r="H2" s="39" t="s">
        <v>218</v>
      </c>
      <c r="I2" s="39" t="s">
        <v>219</v>
      </c>
      <c r="J2" s="82" t="s">
        <v>211</v>
      </c>
      <c r="K2" s="82" t="s">
        <v>220</v>
      </c>
      <c r="L2" s="82" t="s">
        <v>221</v>
      </c>
      <c r="M2" s="82" t="s">
        <v>222</v>
      </c>
      <c r="N2" s="82" t="s">
        <v>213</v>
      </c>
      <c r="O2" s="82" t="s">
        <v>214</v>
      </c>
      <c r="P2" s="82" t="s">
        <v>223</v>
      </c>
      <c r="Q2" s="82" t="s">
        <v>224</v>
      </c>
    </row>
    <row r="3" spans="1:17">
      <c r="A3" s="15" t="s">
        <v>1</v>
      </c>
      <c r="B3" s="33"/>
      <c r="C3" s="33"/>
      <c r="D3" s="33"/>
      <c r="E3" s="33"/>
      <c r="F3" s="33"/>
      <c r="G3" s="33"/>
      <c r="H3" s="33"/>
      <c r="I3" s="33"/>
      <c r="J3" s="33"/>
      <c r="K3" s="33"/>
      <c r="L3" s="33"/>
      <c r="M3" s="33"/>
      <c r="N3" s="33"/>
      <c r="O3" s="33"/>
      <c r="P3" s="33"/>
      <c r="Q3" s="33"/>
    </row>
    <row r="4" spans="1:17" ht="15">
      <c r="A4" s="16" t="s">
        <v>2</v>
      </c>
      <c r="B4" s="31">
        <v>4</v>
      </c>
      <c r="C4" s="31">
        <v>4</v>
      </c>
      <c r="D4" s="31">
        <v>4</v>
      </c>
      <c r="E4" s="31">
        <v>4</v>
      </c>
      <c r="F4" s="31">
        <v>4</v>
      </c>
      <c r="G4" s="31">
        <v>4</v>
      </c>
      <c r="H4" s="31">
        <v>4</v>
      </c>
      <c r="I4" s="31">
        <v>4</v>
      </c>
      <c r="J4" s="31">
        <v>4</v>
      </c>
      <c r="K4" s="31">
        <v>4</v>
      </c>
      <c r="L4" s="31">
        <v>4</v>
      </c>
      <c r="M4" s="31">
        <v>4</v>
      </c>
      <c r="N4" s="31">
        <v>4</v>
      </c>
      <c r="O4" s="31">
        <v>4</v>
      </c>
      <c r="P4" s="31">
        <v>4</v>
      </c>
      <c r="Q4" s="31">
        <v>4</v>
      </c>
    </row>
    <row r="5" spans="1:17" ht="15">
      <c r="A5" s="16" t="s">
        <v>3</v>
      </c>
      <c r="B5" s="31">
        <v>25</v>
      </c>
      <c r="C5" s="31">
        <v>25</v>
      </c>
      <c r="D5" s="31">
        <v>25</v>
      </c>
      <c r="E5" s="31">
        <v>25</v>
      </c>
      <c r="F5" s="31">
        <v>25</v>
      </c>
      <c r="G5" s="31">
        <v>25</v>
      </c>
      <c r="H5" s="31">
        <v>25</v>
      </c>
      <c r="I5" s="31">
        <v>25</v>
      </c>
      <c r="J5" s="31">
        <v>25</v>
      </c>
      <c r="K5" s="31">
        <v>25</v>
      </c>
      <c r="L5" s="31">
        <v>25</v>
      </c>
      <c r="M5" s="31">
        <v>25</v>
      </c>
      <c r="N5" s="31">
        <v>25</v>
      </c>
      <c r="O5" s="31">
        <v>25</v>
      </c>
      <c r="P5" s="31">
        <v>25</v>
      </c>
      <c r="Q5" s="31">
        <v>25</v>
      </c>
    </row>
    <row r="6" spans="1:17" ht="15">
      <c r="A6" s="16" t="s">
        <v>4</v>
      </c>
      <c r="B6" s="31">
        <v>1.5</v>
      </c>
      <c r="C6" s="31">
        <v>1.5</v>
      </c>
      <c r="D6" s="31">
        <v>1.5</v>
      </c>
      <c r="E6" s="31">
        <v>1.5</v>
      </c>
      <c r="F6" s="31">
        <v>1.5</v>
      </c>
      <c r="G6" s="31">
        <v>1.5</v>
      </c>
      <c r="H6" s="31">
        <v>1.5</v>
      </c>
      <c r="I6" s="31">
        <v>1.5</v>
      </c>
      <c r="J6" s="31">
        <v>1.5</v>
      </c>
      <c r="K6" s="31">
        <v>1.5</v>
      </c>
      <c r="L6" s="31">
        <v>1.5</v>
      </c>
      <c r="M6" s="31">
        <v>1.5</v>
      </c>
      <c r="N6" s="31">
        <v>1.5</v>
      </c>
      <c r="O6" s="31">
        <v>1.5</v>
      </c>
      <c r="P6" s="31">
        <v>1.5</v>
      </c>
      <c r="Q6" s="31">
        <v>1.5</v>
      </c>
    </row>
    <row r="7" spans="1:17" ht="30">
      <c r="A7" s="16" t="s">
        <v>202</v>
      </c>
      <c r="B7" s="17" t="s">
        <v>113</v>
      </c>
      <c r="C7" s="18">
        <v>0.95</v>
      </c>
      <c r="D7" s="17" t="s">
        <v>113</v>
      </c>
      <c r="E7" s="18">
        <v>0.95</v>
      </c>
      <c r="F7" s="18" t="s">
        <v>113</v>
      </c>
      <c r="G7" s="18">
        <v>0.95</v>
      </c>
      <c r="H7" s="18" t="s">
        <v>113</v>
      </c>
      <c r="I7" s="18">
        <v>0.95</v>
      </c>
      <c r="J7" s="17" t="s">
        <v>50</v>
      </c>
      <c r="K7" s="18">
        <v>0.95</v>
      </c>
      <c r="L7" s="17" t="s">
        <v>157</v>
      </c>
      <c r="M7" s="18">
        <v>0.95</v>
      </c>
      <c r="N7" s="18" t="s">
        <v>158</v>
      </c>
      <c r="O7" s="18">
        <v>0.95</v>
      </c>
      <c r="P7" s="18" t="s">
        <v>156</v>
      </c>
      <c r="Q7" s="18">
        <v>0.95</v>
      </c>
    </row>
    <row r="8" spans="1:17" ht="15">
      <c r="A8" s="16" t="s">
        <v>203</v>
      </c>
      <c r="B8" s="17">
        <v>0.9</v>
      </c>
      <c r="C8" s="18" t="s">
        <v>113</v>
      </c>
      <c r="D8" s="17">
        <v>0.9</v>
      </c>
      <c r="E8" s="18" t="s">
        <v>113</v>
      </c>
      <c r="F8" s="18">
        <v>0.9</v>
      </c>
      <c r="G8" s="18" t="s">
        <v>113</v>
      </c>
      <c r="H8" s="18">
        <v>0.9</v>
      </c>
      <c r="I8" s="18" t="s">
        <v>113</v>
      </c>
      <c r="J8" s="17">
        <v>0.9</v>
      </c>
      <c r="K8" s="18" t="s">
        <v>157</v>
      </c>
      <c r="L8" s="17">
        <v>0.9</v>
      </c>
      <c r="M8" s="18" t="s">
        <v>156</v>
      </c>
      <c r="N8" s="18">
        <v>0.9</v>
      </c>
      <c r="O8" s="18" t="s">
        <v>50</v>
      </c>
      <c r="P8" s="18">
        <v>0.9</v>
      </c>
      <c r="Q8" s="18" t="s">
        <v>157</v>
      </c>
    </row>
    <row r="9" spans="1:17" ht="15">
      <c r="A9" s="16" t="s">
        <v>5</v>
      </c>
      <c r="B9" s="30" t="s">
        <v>113</v>
      </c>
      <c r="C9" s="31">
        <f>64/(0.001)</f>
        <v>64000</v>
      </c>
      <c r="D9" s="30" t="s">
        <v>113</v>
      </c>
      <c r="E9" s="31">
        <f>64/(0.001)</f>
        <v>64000</v>
      </c>
      <c r="F9" s="31" t="s">
        <v>113</v>
      </c>
      <c r="G9" s="31">
        <f>2/(0.5*0.001)</f>
        <v>4000</v>
      </c>
      <c r="H9" s="31"/>
      <c r="I9" s="31">
        <f>2/(0.5*0.001)</f>
        <v>4000</v>
      </c>
      <c r="J9" s="30" t="s">
        <v>50</v>
      </c>
      <c r="K9" s="31">
        <f>64/(0.001)</f>
        <v>64000</v>
      </c>
      <c r="L9" s="30" t="s">
        <v>157</v>
      </c>
      <c r="M9" s="31">
        <f>64/(0.001)</f>
        <v>64000</v>
      </c>
      <c r="N9" s="31" t="s">
        <v>50</v>
      </c>
      <c r="O9" s="31">
        <f>2/(0.5*0.001)</f>
        <v>4000</v>
      </c>
      <c r="P9" s="31"/>
      <c r="Q9" s="31">
        <f>2/(0.5*0.001)</f>
        <v>4000</v>
      </c>
    </row>
    <row r="10" spans="1:17" ht="15">
      <c r="A10" s="16" t="s">
        <v>6</v>
      </c>
      <c r="B10" s="30">
        <f>2248233*3</f>
        <v>6744699</v>
      </c>
      <c r="C10" s="31" t="s">
        <v>113</v>
      </c>
      <c r="D10" s="30">
        <f>2248233*3</f>
        <v>6744699</v>
      </c>
      <c r="E10" s="31" t="s">
        <v>113</v>
      </c>
      <c r="F10" s="31">
        <f>74880*3</f>
        <v>224640</v>
      </c>
      <c r="G10" s="31" t="s">
        <v>113</v>
      </c>
      <c r="H10" s="31">
        <f>74880*3</f>
        <v>224640</v>
      </c>
      <c r="I10" s="31" t="s">
        <v>113</v>
      </c>
      <c r="J10" s="30">
        <f>2248233*3</f>
        <v>6744699</v>
      </c>
      <c r="K10" s="31" t="s">
        <v>156</v>
      </c>
      <c r="L10" s="30">
        <f>2248233*3</f>
        <v>6744699</v>
      </c>
      <c r="M10" s="31" t="s">
        <v>157</v>
      </c>
      <c r="N10" s="31">
        <f>74880*3</f>
        <v>224640</v>
      </c>
      <c r="O10" s="31" t="s">
        <v>157</v>
      </c>
      <c r="P10" s="31">
        <f>74880*3</f>
        <v>224640</v>
      </c>
      <c r="Q10" s="31" t="s">
        <v>157</v>
      </c>
    </row>
    <row r="11" spans="1:17" ht="15">
      <c r="A11" s="16" t="s">
        <v>7</v>
      </c>
      <c r="B11" s="17" t="s">
        <v>113</v>
      </c>
      <c r="C11" s="18">
        <v>0.01</v>
      </c>
      <c r="D11" s="17" t="s">
        <v>113</v>
      </c>
      <c r="E11" s="18">
        <v>0.01</v>
      </c>
      <c r="F11" s="18" t="s">
        <v>113</v>
      </c>
      <c r="G11" s="18">
        <v>0.01</v>
      </c>
      <c r="H11" s="18" t="s">
        <v>113</v>
      </c>
      <c r="I11" s="18">
        <v>0.01</v>
      </c>
      <c r="J11" s="17" t="s">
        <v>152</v>
      </c>
      <c r="K11" s="18">
        <v>0.01</v>
      </c>
      <c r="L11" s="17" t="s">
        <v>157</v>
      </c>
      <c r="M11" s="18">
        <v>0.01</v>
      </c>
      <c r="N11" s="18" t="s">
        <v>152</v>
      </c>
      <c r="O11" s="18">
        <v>0.01</v>
      </c>
      <c r="P11" s="18" t="s">
        <v>152</v>
      </c>
      <c r="Q11" s="18">
        <v>0.01</v>
      </c>
    </row>
    <row r="12" spans="1:17" ht="15">
      <c r="A12" s="16" t="s">
        <v>8</v>
      </c>
      <c r="B12" s="17">
        <v>0.1</v>
      </c>
      <c r="C12" s="18" t="s">
        <v>113</v>
      </c>
      <c r="D12" s="17">
        <v>0.1</v>
      </c>
      <c r="E12" s="18" t="s">
        <v>113</v>
      </c>
      <c r="F12" s="18">
        <v>0.1</v>
      </c>
      <c r="G12" s="18" t="s">
        <v>113</v>
      </c>
      <c r="H12" s="18">
        <v>0.1</v>
      </c>
      <c r="I12" s="18" t="s">
        <v>113</v>
      </c>
      <c r="J12" s="17">
        <v>0.1</v>
      </c>
      <c r="K12" s="18" t="s">
        <v>50</v>
      </c>
      <c r="L12" s="17">
        <v>0.1</v>
      </c>
      <c r="M12" s="18" t="s">
        <v>50</v>
      </c>
      <c r="N12" s="18">
        <v>0.1</v>
      </c>
      <c r="O12" s="18" t="s">
        <v>50</v>
      </c>
      <c r="P12" s="18">
        <v>0.1</v>
      </c>
      <c r="Q12" s="18" t="s">
        <v>152</v>
      </c>
    </row>
    <row r="13" spans="1:17" ht="16.5">
      <c r="A13" s="16" t="s">
        <v>91</v>
      </c>
      <c r="B13" s="30">
        <f>B10/(B42*(4+2*11/14+1/14)/10)</f>
        <v>0.65101476793248958</v>
      </c>
      <c r="C13" s="30" t="s">
        <v>113</v>
      </c>
      <c r="D13" s="30">
        <f>D10/(D42*(4+2*11/14+1/14)/10)</f>
        <v>0.65101476793248958</v>
      </c>
      <c r="E13" s="30" t="s">
        <v>113</v>
      </c>
      <c r="F13" s="30">
        <f>F10/(F42*(4+2*2/14+1/14)/10)</f>
        <v>0.35803278688524592</v>
      </c>
      <c r="G13" s="30" t="s">
        <v>113</v>
      </c>
      <c r="H13" s="30">
        <f>H10/(H42*(4+2*2/14+1/14)/10)</f>
        <v>0.35803278688524592</v>
      </c>
      <c r="I13" s="31" t="s">
        <v>113</v>
      </c>
      <c r="J13" s="30">
        <f>J10/(J42*(4+2*11/14+1/14)/10)</f>
        <v>0.65101476793248958</v>
      </c>
      <c r="K13" s="30" t="s">
        <v>152</v>
      </c>
      <c r="L13" s="30">
        <f>L10/(L42*(4+2*11/14+1/14)/10)</f>
        <v>0.65101476793248958</v>
      </c>
      <c r="M13" s="30" t="s">
        <v>152</v>
      </c>
      <c r="N13" s="30">
        <f>N10/(N42*(4+2*2/14+1/14)/10)</f>
        <v>0.35803278688524592</v>
      </c>
      <c r="O13" s="30" t="s">
        <v>152</v>
      </c>
      <c r="P13" s="30">
        <f>P10/(P42*(4+2*2/14+1/14)/10)</f>
        <v>0.35803278688524592</v>
      </c>
      <c r="Q13" s="31" t="s">
        <v>152</v>
      </c>
    </row>
    <row r="14" spans="1:17" ht="16.5">
      <c r="A14" s="16" t="s">
        <v>92</v>
      </c>
      <c r="B14" s="30" t="s">
        <v>114</v>
      </c>
      <c r="C14" s="30" t="s">
        <v>114</v>
      </c>
      <c r="D14" s="30" t="s">
        <v>123</v>
      </c>
      <c r="E14" s="30" t="s">
        <v>123</v>
      </c>
      <c r="F14" s="30" t="s">
        <v>114</v>
      </c>
      <c r="G14" s="30" t="s">
        <v>114</v>
      </c>
      <c r="H14" s="30" t="s">
        <v>123</v>
      </c>
      <c r="I14" s="30" t="s">
        <v>123</v>
      </c>
      <c r="J14" s="30" t="s">
        <v>159</v>
      </c>
      <c r="K14" s="30" t="s">
        <v>159</v>
      </c>
      <c r="L14" s="30" t="s">
        <v>160</v>
      </c>
      <c r="M14" s="30" t="s">
        <v>160</v>
      </c>
      <c r="N14" s="30" t="s">
        <v>159</v>
      </c>
      <c r="O14" s="30" t="s">
        <v>159</v>
      </c>
      <c r="P14" s="30" t="s">
        <v>160</v>
      </c>
      <c r="Q14" s="30" t="s">
        <v>160</v>
      </c>
    </row>
    <row r="15" spans="1:17" ht="15">
      <c r="A15" s="16" t="s">
        <v>115</v>
      </c>
      <c r="B15" s="30">
        <v>30</v>
      </c>
      <c r="C15" s="31">
        <v>30</v>
      </c>
      <c r="D15" s="30">
        <v>3</v>
      </c>
      <c r="E15" s="31">
        <v>3</v>
      </c>
      <c r="F15" s="31">
        <v>30</v>
      </c>
      <c r="G15" s="31">
        <v>30</v>
      </c>
      <c r="H15" s="31">
        <v>3</v>
      </c>
      <c r="I15" s="31">
        <v>3</v>
      </c>
      <c r="J15" s="30">
        <v>30</v>
      </c>
      <c r="K15" s="31">
        <v>30</v>
      </c>
      <c r="L15" s="30">
        <v>3</v>
      </c>
      <c r="M15" s="31">
        <v>3</v>
      </c>
      <c r="N15" s="31">
        <v>30</v>
      </c>
      <c r="O15" s="31">
        <v>30</v>
      </c>
      <c r="P15" s="31">
        <v>3</v>
      </c>
      <c r="Q15" s="31">
        <v>3</v>
      </c>
    </row>
    <row r="16" spans="1:17" ht="15">
      <c r="A16" s="16" t="s">
        <v>9</v>
      </c>
      <c r="B16" s="30">
        <v>3</v>
      </c>
      <c r="C16" s="31">
        <v>3</v>
      </c>
      <c r="D16" s="30">
        <v>3</v>
      </c>
      <c r="E16" s="31">
        <v>3</v>
      </c>
      <c r="F16" s="31">
        <v>3</v>
      </c>
      <c r="G16" s="31">
        <v>3</v>
      </c>
      <c r="H16" s="31">
        <v>3</v>
      </c>
      <c r="I16" s="31">
        <v>3</v>
      </c>
      <c r="J16" s="30">
        <v>3</v>
      </c>
      <c r="K16" s="31">
        <v>3</v>
      </c>
      <c r="L16" s="30">
        <v>3</v>
      </c>
      <c r="M16" s="31">
        <v>3</v>
      </c>
      <c r="N16" s="31">
        <v>3</v>
      </c>
      <c r="O16" s="31">
        <v>3</v>
      </c>
      <c r="P16" s="31">
        <v>3</v>
      </c>
      <c r="Q16" s="31">
        <v>3</v>
      </c>
    </row>
    <row r="17" spans="1:17">
      <c r="A17" s="15" t="s">
        <v>10</v>
      </c>
      <c r="B17" s="33"/>
      <c r="C17" s="33"/>
      <c r="D17" s="33"/>
      <c r="E17" s="33"/>
      <c r="F17" s="33"/>
      <c r="G17" s="33"/>
      <c r="H17" s="33"/>
      <c r="I17" s="33"/>
      <c r="J17" s="33"/>
      <c r="K17" s="33"/>
      <c r="L17" s="33"/>
      <c r="M17" s="33"/>
      <c r="N17" s="33"/>
      <c r="O17" s="33"/>
      <c r="P17" s="33"/>
      <c r="Q17" s="33"/>
    </row>
    <row r="18" spans="1:17" ht="30">
      <c r="A18" s="16" t="s">
        <v>116</v>
      </c>
      <c r="B18" s="30">
        <v>256</v>
      </c>
      <c r="C18" s="30">
        <v>256</v>
      </c>
      <c r="D18" s="30">
        <v>256</v>
      </c>
      <c r="E18" s="30">
        <v>256</v>
      </c>
      <c r="F18" s="31">
        <v>2</v>
      </c>
      <c r="G18" s="31">
        <v>2</v>
      </c>
      <c r="H18" s="31">
        <v>2</v>
      </c>
      <c r="I18" s="31">
        <v>2</v>
      </c>
      <c r="J18" s="30">
        <v>256</v>
      </c>
      <c r="K18" s="30">
        <v>256</v>
      </c>
      <c r="L18" s="30">
        <v>256</v>
      </c>
      <c r="M18" s="30">
        <v>256</v>
      </c>
      <c r="N18" s="31">
        <v>2</v>
      </c>
      <c r="O18" s="31">
        <v>2</v>
      </c>
      <c r="P18" s="31">
        <v>2</v>
      </c>
      <c r="Q18" s="31">
        <v>2</v>
      </c>
    </row>
    <row r="19" spans="1:17" ht="15">
      <c r="A19" s="16" t="s">
        <v>145</v>
      </c>
      <c r="B19" s="30">
        <v>2</v>
      </c>
      <c r="C19" s="30">
        <v>2</v>
      </c>
      <c r="D19" s="30">
        <v>2</v>
      </c>
      <c r="E19" s="30">
        <v>2</v>
      </c>
      <c r="F19" s="31">
        <v>2</v>
      </c>
      <c r="G19" s="31">
        <v>2</v>
      </c>
      <c r="H19" s="31">
        <v>2</v>
      </c>
      <c r="I19" s="31">
        <v>2</v>
      </c>
      <c r="J19" s="30">
        <v>2</v>
      </c>
      <c r="K19" s="30">
        <v>2</v>
      </c>
      <c r="L19" s="30">
        <v>2</v>
      </c>
      <c r="M19" s="30">
        <v>2</v>
      </c>
      <c r="N19" s="31">
        <v>2</v>
      </c>
      <c r="O19" s="31">
        <v>2</v>
      </c>
      <c r="P19" s="31">
        <v>2</v>
      </c>
      <c r="Q19" s="31">
        <v>2</v>
      </c>
    </row>
    <row r="20" spans="1:17" ht="15">
      <c r="A20" s="16" t="s">
        <v>11</v>
      </c>
      <c r="B20" s="30">
        <v>20</v>
      </c>
      <c r="C20" s="30">
        <v>20</v>
      </c>
      <c r="D20" s="30">
        <v>20</v>
      </c>
      <c r="E20" s="30">
        <v>20</v>
      </c>
      <c r="F20" s="31">
        <v>20</v>
      </c>
      <c r="G20" s="31">
        <v>20</v>
      </c>
      <c r="H20" s="31">
        <v>20</v>
      </c>
      <c r="I20" s="31">
        <v>20</v>
      </c>
      <c r="J20" s="30">
        <v>20</v>
      </c>
      <c r="K20" s="30">
        <v>20</v>
      </c>
      <c r="L20" s="30">
        <v>20</v>
      </c>
      <c r="M20" s="30">
        <v>20</v>
      </c>
      <c r="N20" s="31">
        <v>20</v>
      </c>
      <c r="O20" s="31">
        <v>20</v>
      </c>
      <c r="P20" s="31">
        <v>20</v>
      </c>
      <c r="Q20" s="31">
        <v>20</v>
      </c>
    </row>
    <row r="21" spans="1:17" ht="30">
      <c r="A21" s="40" t="s">
        <v>117</v>
      </c>
      <c r="B21" s="36">
        <f t="shared" ref="B21:Q21" si="0">B20+10*LOG10(B18)</f>
        <v>44.0823996531185</v>
      </c>
      <c r="C21" s="36">
        <f t="shared" si="0"/>
        <v>44.0823996531185</v>
      </c>
      <c r="D21" s="36">
        <f t="shared" si="0"/>
        <v>44.0823996531185</v>
      </c>
      <c r="E21" s="36">
        <f t="shared" si="0"/>
        <v>44.0823996531185</v>
      </c>
      <c r="F21" s="36">
        <f t="shared" si="0"/>
        <v>23.010299956639813</v>
      </c>
      <c r="G21" s="36">
        <f t="shared" si="0"/>
        <v>23.010299956639813</v>
      </c>
      <c r="H21" s="36">
        <f t="shared" si="0"/>
        <v>23.010299956639813</v>
      </c>
      <c r="I21" s="36">
        <f t="shared" si="0"/>
        <v>23.010299956639813</v>
      </c>
      <c r="J21" s="36">
        <f t="shared" si="0"/>
        <v>44.0823996531185</v>
      </c>
      <c r="K21" s="36">
        <f t="shared" si="0"/>
        <v>44.0823996531185</v>
      </c>
      <c r="L21" s="36">
        <f t="shared" si="0"/>
        <v>44.0823996531185</v>
      </c>
      <c r="M21" s="36">
        <f t="shared" si="0"/>
        <v>44.0823996531185</v>
      </c>
      <c r="N21" s="36">
        <f t="shared" si="0"/>
        <v>23.010299956639813</v>
      </c>
      <c r="O21" s="36">
        <f t="shared" si="0"/>
        <v>23.010299956639813</v>
      </c>
      <c r="P21" s="36">
        <f t="shared" si="0"/>
        <v>23.010299956639813</v>
      </c>
      <c r="Q21" s="36">
        <f t="shared" si="0"/>
        <v>23.010299956639813</v>
      </c>
    </row>
    <row r="22" spans="1:17" ht="15">
      <c r="A22" s="16" t="s">
        <v>12</v>
      </c>
      <c r="B22" s="30">
        <v>8</v>
      </c>
      <c r="C22" s="31">
        <v>8</v>
      </c>
      <c r="D22" s="30">
        <v>8</v>
      </c>
      <c r="E22" s="31">
        <v>8</v>
      </c>
      <c r="F22" s="31">
        <v>0</v>
      </c>
      <c r="G22" s="31">
        <v>0</v>
      </c>
      <c r="H22" s="31">
        <v>0</v>
      </c>
      <c r="I22" s="31">
        <v>0</v>
      </c>
      <c r="J22" s="30">
        <v>8</v>
      </c>
      <c r="K22" s="31">
        <v>8</v>
      </c>
      <c r="L22" s="30">
        <v>8</v>
      </c>
      <c r="M22" s="31">
        <v>8</v>
      </c>
      <c r="N22" s="31">
        <v>0</v>
      </c>
      <c r="O22" s="31">
        <v>0</v>
      </c>
      <c r="P22" s="31">
        <v>0</v>
      </c>
      <c r="Q22" s="31">
        <v>0</v>
      </c>
    </row>
    <row r="23" spans="1:17" ht="45">
      <c r="A23" s="41" t="s">
        <v>13</v>
      </c>
      <c r="B23" s="36">
        <f t="shared" ref="B23:Q23" si="1">IF(B18&gt;=2, 10*LOG10(B18/2), 0)</f>
        <v>21.072099696478684</v>
      </c>
      <c r="C23" s="36">
        <f t="shared" si="1"/>
        <v>21.072099696478684</v>
      </c>
      <c r="D23" s="36">
        <f t="shared" si="1"/>
        <v>21.072099696478684</v>
      </c>
      <c r="E23" s="36">
        <f t="shared" si="1"/>
        <v>21.072099696478684</v>
      </c>
      <c r="F23" s="36">
        <f t="shared" si="1"/>
        <v>0</v>
      </c>
      <c r="G23" s="36">
        <f t="shared" si="1"/>
        <v>0</v>
      </c>
      <c r="H23" s="36">
        <f t="shared" si="1"/>
        <v>0</v>
      </c>
      <c r="I23" s="36">
        <f t="shared" si="1"/>
        <v>0</v>
      </c>
      <c r="J23" s="36">
        <f t="shared" si="1"/>
        <v>21.072099696478684</v>
      </c>
      <c r="K23" s="36">
        <f t="shared" si="1"/>
        <v>21.072099696478684</v>
      </c>
      <c r="L23" s="36">
        <f t="shared" si="1"/>
        <v>21.072099696478684</v>
      </c>
      <c r="M23" s="36">
        <f t="shared" si="1"/>
        <v>21.072099696478684</v>
      </c>
      <c r="N23" s="36">
        <f t="shared" si="1"/>
        <v>0</v>
      </c>
      <c r="O23" s="36">
        <f t="shared" si="1"/>
        <v>0</v>
      </c>
      <c r="P23" s="36">
        <f t="shared" si="1"/>
        <v>0</v>
      </c>
      <c r="Q23" s="36">
        <f t="shared" si="1"/>
        <v>0</v>
      </c>
    </row>
    <row r="24" spans="1:17" ht="15">
      <c r="A24" s="16" t="s">
        <v>14</v>
      </c>
      <c r="B24" s="30">
        <v>0</v>
      </c>
      <c r="C24" s="31">
        <v>0</v>
      </c>
      <c r="D24" s="30">
        <v>0</v>
      </c>
      <c r="E24" s="31">
        <v>0</v>
      </c>
      <c r="F24" s="31">
        <v>0</v>
      </c>
      <c r="G24" s="31">
        <v>0</v>
      </c>
      <c r="H24" s="31">
        <v>0</v>
      </c>
      <c r="I24" s="31">
        <v>0</v>
      </c>
      <c r="J24" s="30">
        <v>0</v>
      </c>
      <c r="K24" s="31">
        <v>0</v>
      </c>
      <c r="L24" s="30">
        <v>0</v>
      </c>
      <c r="M24" s="31">
        <v>0</v>
      </c>
      <c r="N24" s="31">
        <v>0</v>
      </c>
      <c r="O24" s="31">
        <v>0</v>
      </c>
      <c r="P24" s="31">
        <v>0</v>
      </c>
      <c r="Q24" s="31">
        <v>0</v>
      </c>
    </row>
    <row r="25" spans="1:17" ht="15">
      <c r="A25" s="16" t="s">
        <v>15</v>
      </c>
      <c r="B25" s="30">
        <v>0</v>
      </c>
      <c r="C25" s="31">
        <v>0</v>
      </c>
      <c r="D25" s="30">
        <v>0</v>
      </c>
      <c r="E25" s="31">
        <v>0</v>
      </c>
      <c r="F25" s="31">
        <v>0</v>
      </c>
      <c r="G25" s="31">
        <v>0</v>
      </c>
      <c r="H25" s="31">
        <v>0</v>
      </c>
      <c r="I25" s="31">
        <v>0</v>
      </c>
      <c r="J25" s="30">
        <v>0</v>
      </c>
      <c r="K25" s="31">
        <v>0</v>
      </c>
      <c r="L25" s="30">
        <v>0</v>
      </c>
      <c r="M25" s="31">
        <v>0</v>
      </c>
      <c r="N25" s="31">
        <v>0</v>
      </c>
      <c r="O25" s="31">
        <v>0</v>
      </c>
      <c r="P25" s="31">
        <v>0</v>
      </c>
      <c r="Q25" s="31">
        <v>0</v>
      </c>
    </row>
    <row r="26" spans="1:17" ht="30">
      <c r="A26" s="16" t="s">
        <v>16</v>
      </c>
      <c r="B26" s="30">
        <v>3</v>
      </c>
      <c r="C26" s="30">
        <v>3</v>
      </c>
      <c r="D26" s="30">
        <v>3</v>
      </c>
      <c r="E26" s="30">
        <v>3</v>
      </c>
      <c r="F26" s="30">
        <v>1</v>
      </c>
      <c r="G26" s="30">
        <v>1</v>
      </c>
      <c r="H26" s="30">
        <v>1</v>
      </c>
      <c r="I26" s="31">
        <v>1</v>
      </c>
      <c r="J26" s="30">
        <v>3</v>
      </c>
      <c r="K26" s="30">
        <v>3</v>
      </c>
      <c r="L26" s="30">
        <v>3</v>
      </c>
      <c r="M26" s="30">
        <v>3</v>
      </c>
      <c r="N26" s="30">
        <v>1</v>
      </c>
      <c r="O26" s="30">
        <v>1</v>
      </c>
      <c r="P26" s="30">
        <v>1</v>
      </c>
      <c r="Q26" s="31">
        <v>1</v>
      </c>
    </row>
    <row r="27" spans="1:17" ht="15">
      <c r="A27" s="21" t="s">
        <v>17</v>
      </c>
      <c r="B27" s="35">
        <f t="shared" ref="B27:Q27" si="2">B21+B22+B23+B24-B26</f>
        <v>70.154499349597188</v>
      </c>
      <c r="C27" s="35">
        <f t="shared" si="2"/>
        <v>70.154499349597188</v>
      </c>
      <c r="D27" s="35">
        <f t="shared" si="2"/>
        <v>70.154499349597188</v>
      </c>
      <c r="E27" s="35">
        <f t="shared" si="2"/>
        <v>70.154499349597188</v>
      </c>
      <c r="F27" s="35">
        <f t="shared" si="2"/>
        <v>22.010299956639813</v>
      </c>
      <c r="G27" s="35">
        <f t="shared" si="2"/>
        <v>22.010299956639813</v>
      </c>
      <c r="H27" s="35">
        <f t="shared" si="2"/>
        <v>22.010299956639813</v>
      </c>
      <c r="I27" s="35">
        <f t="shared" si="2"/>
        <v>22.010299956639813</v>
      </c>
      <c r="J27" s="35">
        <f t="shared" si="2"/>
        <v>70.154499349597188</v>
      </c>
      <c r="K27" s="35">
        <f t="shared" si="2"/>
        <v>70.154499349597188</v>
      </c>
      <c r="L27" s="35">
        <f t="shared" si="2"/>
        <v>70.154499349597188</v>
      </c>
      <c r="M27" s="35">
        <f t="shared" si="2"/>
        <v>70.154499349597188</v>
      </c>
      <c r="N27" s="35">
        <f t="shared" si="2"/>
        <v>22.010299956639813</v>
      </c>
      <c r="O27" s="35">
        <f t="shared" si="2"/>
        <v>22.010299956639813</v>
      </c>
      <c r="P27" s="35">
        <f t="shared" si="2"/>
        <v>22.010299956639813</v>
      </c>
      <c r="Q27" s="35">
        <f t="shared" si="2"/>
        <v>22.010299956639813</v>
      </c>
    </row>
    <row r="28" spans="1:17" ht="15">
      <c r="A28" s="21" t="s">
        <v>18</v>
      </c>
      <c r="B28" s="35">
        <f t="shared" ref="B28:Q28" si="3">B21+B22+B23-B25-B26</f>
        <v>70.154499349597188</v>
      </c>
      <c r="C28" s="35">
        <f t="shared" si="3"/>
        <v>70.154499349597188</v>
      </c>
      <c r="D28" s="35">
        <f t="shared" si="3"/>
        <v>70.154499349597188</v>
      </c>
      <c r="E28" s="35">
        <f t="shared" si="3"/>
        <v>70.154499349597188</v>
      </c>
      <c r="F28" s="35">
        <f t="shared" si="3"/>
        <v>22.010299956639813</v>
      </c>
      <c r="G28" s="35">
        <f t="shared" si="3"/>
        <v>22.010299956639813</v>
      </c>
      <c r="H28" s="35">
        <f t="shared" si="3"/>
        <v>22.010299956639813</v>
      </c>
      <c r="I28" s="35">
        <f t="shared" si="3"/>
        <v>22.010299956639813</v>
      </c>
      <c r="J28" s="35">
        <f t="shared" si="3"/>
        <v>70.154499349597188</v>
      </c>
      <c r="K28" s="35">
        <f t="shared" si="3"/>
        <v>70.154499349597188</v>
      </c>
      <c r="L28" s="35">
        <f t="shared" si="3"/>
        <v>70.154499349597188</v>
      </c>
      <c r="M28" s="35">
        <f t="shared" si="3"/>
        <v>70.154499349597188</v>
      </c>
      <c r="N28" s="35">
        <f t="shared" si="3"/>
        <v>22.010299956639813</v>
      </c>
      <c r="O28" s="35">
        <f t="shared" si="3"/>
        <v>22.010299956639813</v>
      </c>
      <c r="P28" s="35">
        <f t="shared" si="3"/>
        <v>22.010299956639813</v>
      </c>
      <c r="Q28" s="35">
        <f t="shared" si="3"/>
        <v>22.010299956639813</v>
      </c>
    </row>
    <row r="29" spans="1:17">
      <c r="A29" s="15" t="s">
        <v>19</v>
      </c>
      <c r="B29" s="33"/>
      <c r="C29" s="33"/>
      <c r="D29" s="33"/>
      <c r="E29" s="33"/>
      <c r="F29" s="33"/>
      <c r="G29" s="33"/>
      <c r="H29" s="33"/>
      <c r="I29" s="33"/>
      <c r="J29" s="33"/>
      <c r="K29" s="33"/>
      <c r="L29" s="33"/>
      <c r="M29" s="33"/>
      <c r="N29" s="33"/>
      <c r="O29" s="33"/>
      <c r="P29" s="33"/>
      <c r="Q29" s="33"/>
    </row>
    <row r="30" spans="1:17" ht="30">
      <c r="A30" s="16" t="s">
        <v>110</v>
      </c>
      <c r="B30" s="30">
        <v>4</v>
      </c>
      <c r="C30" s="31">
        <v>4</v>
      </c>
      <c r="D30" s="30">
        <v>4</v>
      </c>
      <c r="E30" s="31">
        <v>4</v>
      </c>
      <c r="F30" s="31">
        <v>256</v>
      </c>
      <c r="G30" s="31">
        <v>256</v>
      </c>
      <c r="H30" s="31">
        <v>256</v>
      </c>
      <c r="I30" s="31">
        <v>256</v>
      </c>
      <c r="J30" s="30">
        <v>4</v>
      </c>
      <c r="K30" s="31">
        <v>4</v>
      </c>
      <c r="L30" s="30">
        <v>4</v>
      </c>
      <c r="M30" s="31">
        <v>4</v>
      </c>
      <c r="N30" s="31">
        <v>256</v>
      </c>
      <c r="O30" s="31">
        <v>256</v>
      </c>
      <c r="P30" s="31">
        <v>256</v>
      </c>
      <c r="Q30" s="31">
        <v>256</v>
      </c>
    </row>
    <row r="31" spans="1:17" ht="15">
      <c r="A31" s="16" t="s">
        <v>140</v>
      </c>
      <c r="B31" s="30">
        <v>2</v>
      </c>
      <c r="C31" s="31">
        <v>2</v>
      </c>
      <c r="D31" s="30">
        <v>2</v>
      </c>
      <c r="E31" s="31">
        <v>2</v>
      </c>
      <c r="F31" s="31">
        <v>2</v>
      </c>
      <c r="G31" s="31">
        <v>2</v>
      </c>
      <c r="H31" s="31">
        <v>2</v>
      </c>
      <c r="I31" s="31">
        <v>2</v>
      </c>
      <c r="J31" s="30">
        <v>2</v>
      </c>
      <c r="K31" s="31">
        <v>2</v>
      </c>
      <c r="L31" s="30">
        <v>2</v>
      </c>
      <c r="M31" s="31">
        <v>2</v>
      </c>
      <c r="N31" s="31">
        <v>2</v>
      </c>
      <c r="O31" s="31">
        <v>2</v>
      </c>
      <c r="P31" s="31">
        <v>2</v>
      </c>
      <c r="Q31" s="31">
        <v>2</v>
      </c>
    </row>
    <row r="32" spans="1:17" ht="15">
      <c r="A32" s="16" t="s">
        <v>20</v>
      </c>
      <c r="B32" s="30">
        <v>0</v>
      </c>
      <c r="C32" s="31">
        <v>0</v>
      </c>
      <c r="D32" s="30">
        <v>0</v>
      </c>
      <c r="E32" s="31">
        <v>0</v>
      </c>
      <c r="F32" s="31">
        <v>8</v>
      </c>
      <c r="G32" s="31">
        <v>8</v>
      </c>
      <c r="H32" s="31">
        <v>8</v>
      </c>
      <c r="I32" s="31">
        <v>8</v>
      </c>
      <c r="J32" s="30">
        <v>0</v>
      </c>
      <c r="K32" s="31">
        <v>0</v>
      </c>
      <c r="L32" s="30">
        <v>0</v>
      </c>
      <c r="M32" s="31">
        <v>0</v>
      </c>
      <c r="N32" s="31">
        <v>8</v>
      </c>
      <c r="O32" s="31">
        <v>8</v>
      </c>
      <c r="P32" s="31">
        <v>8</v>
      </c>
      <c r="Q32" s="31">
        <v>8</v>
      </c>
    </row>
    <row r="33" spans="1:17" ht="28.5">
      <c r="A33" s="22" t="s">
        <v>144</v>
      </c>
      <c r="B33" s="36">
        <f t="shared" ref="B33:Q33" si="4">IF(B30&gt;=2, 10*LOG10(B30/2), 0)</f>
        <v>3.0102999566398121</v>
      </c>
      <c r="C33" s="36">
        <f t="shared" si="4"/>
        <v>3.0102999566398121</v>
      </c>
      <c r="D33" s="36">
        <f t="shared" si="4"/>
        <v>3.0102999566398121</v>
      </c>
      <c r="E33" s="36">
        <f t="shared" si="4"/>
        <v>3.0102999566398121</v>
      </c>
      <c r="F33" s="36">
        <f>IF(F30&gt;=2, 10*LOG10(F30/2), 0)</f>
        <v>21.072099696478684</v>
      </c>
      <c r="G33" s="36">
        <f t="shared" si="4"/>
        <v>21.072099696478684</v>
      </c>
      <c r="H33" s="36">
        <f t="shared" si="4"/>
        <v>21.072099696478684</v>
      </c>
      <c r="I33" s="36">
        <f t="shared" si="4"/>
        <v>21.072099696478684</v>
      </c>
      <c r="J33" s="36">
        <f t="shared" si="4"/>
        <v>3.0102999566398121</v>
      </c>
      <c r="K33" s="36">
        <f t="shared" si="4"/>
        <v>3.0102999566398121</v>
      </c>
      <c r="L33" s="36">
        <f t="shared" si="4"/>
        <v>3.0102999566398121</v>
      </c>
      <c r="M33" s="36">
        <f t="shared" si="4"/>
        <v>3.0102999566398121</v>
      </c>
      <c r="N33" s="36">
        <f>IF(N30&gt;=2, 10*LOG10(N30/2), 0)</f>
        <v>21.072099696478684</v>
      </c>
      <c r="O33" s="36">
        <f t="shared" si="4"/>
        <v>21.072099696478684</v>
      </c>
      <c r="P33" s="36">
        <f t="shared" si="4"/>
        <v>21.072099696478684</v>
      </c>
      <c r="Q33" s="36">
        <f t="shared" si="4"/>
        <v>21.072099696478684</v>
      </c>
    </row>
    <row r="34" spans="1:17" ht="30">
      <c r="A34" s="16" t="s">
        <v>21</v>
      </c>
      <c r="B34" s="30">
        <v>1</v>
      </c>
      <c r="C34" s="30">
        <v>1</v>
      </c>
      <c r="D34" s="30">
        <v>1</v>
      </c>
      <c r="E34" s="30">
        <v>1</v>
      </c>
      <c r="F34" s="30">
        <v>3</v>
      </c>
      <c r="G34" s="30">
        <v>3</v>
      </c>
      <c r="H34" s="30">
        <v>3</v>
      </c>
      <c r="I34" s="78">
        <v>3</v>
      </c>
      <c r="J34" s="30">
        <v>1</v>
      </c>
      <c r="K34" s="30">
        <v>1</v>
      </c>
      <c r="L34" s="30">
        <v>1</v>
      </c>
      <c r="M34" s="30">
        <v>1</v>
      </c>
      <c r="N34" s="30">
        <v>3</v>
      </c>
      <c r="O34" s="30">
        <v>3</v>
      </c>
      <c r="P34" s="30">
        <v>3</v>
      </c>
      <c r="Q34" s="78">
        <v>3</v>
      </c>
    </row>
    <row r="35" spans="1:17" ht="15">
      <c r="A35" s="16" t="s">
        <v>22</v>
      </c>
      <c r="B35" s="31">
        <v>7</v>
      </c>
      <c r="C35" s="31">
        <v>7</v>
      </c>
      <c r="D35" s="31">
        <v>7</v>
      </c>
      <c r="E35" s="31">
        <v>7</v>
      </c>
      <c r="F35" s="31">
        <v>5</v>
      </c>
      <c r="G35" s="31">
        <v>5</v>
      </c>
      <c r="H35" s="31">
        <v>5</v>
      </c>
      <c r="I35" s="31">
        <v>5</v>
      </c>
      <c r="J35" s="31">
        <v>7</v>
      </c>
      <c r="K35" s="31">
        <v>7</v>
      </c>
      <c r="L35" s="31">
        <v>7</v>
      </c>
      <c r="M35" s="31">
        <v>7</v>
      </c>
      <c r="N35" s="31">
        <v>5</v>
      </c>
      <c r="O35" s="31">
        <v>5</v>
      </c>
      <c r="P35" s="31">
        <v>5</v>
      </c>
      <c r="Q35" s="31">
        <v>5</v>
      </c>
    </row>
    <row r="36" spans="1:17" ht="15">
      <c r="A36" s="16" t="s">
        <v>23</v>
      </c>
      <c r="B36" s="31">
        <v>-174</v>
      </c>
      <c r="C36" s="31">
        <v>-174</v>
      </c>
      <c r="D36" s="31">
        <v>-174</v>
      </c>
      <c r="E36" s="31">
        <v>-174</v>
      </c>
      <c r="F36" s="30">
        <v>-174</v>
      </c>
      <c r="G36" s="31">
        <v>-174</v>
      </c>
      <c r="H36" s="30">
        <v>-174</v>
      </c>
      <c r="I36" s="31">
        <v>-174</v>
      </c>
      <c r="J36" s="31">
        <v>-174</v>
      </c>
      <c r="K36" s="31">
        <v>-174</v>
      </c>
      <c r="L36" s="31">
        <v>-174</v>
      </c>
      <c r="M36" s="31">
        <v>-174</v>
      </c>
      <c r="N36" s="30">
        <v>-174</v>
      </c>
      <c r="O36" s="31">
        <v>-174</v>
      </c>
      <c r="P36" s="30">
        <v>-174</v>
      </c>
      <c r="Q36" s="31">
        <v>-174</v>
      </c>
    </row>
    <row r="37" spans="1:17" ht="15">
      <c r="A37" s="16" t="s">
        <v>204</v>
      </c>
      <c r="B37" s="30" t="s">
        <v>113</v>
      </c>
      <c r="C37" s="31">
        <v>-169.3</v>
      </c>
      <c r="D37" s="30" t="s">
        <v>113</v>
      </c>
      <c r="E37" s="31">
        <v>-169.3</v>
      </c>
      <c r="F37" s="31" t="s">
        <v>113</v>
      </c>
      <c r="G37" s="31">
        <v>-161.69999999999999</v>
      </c>
      <c r="H37" s="31" t="s">
        <v>113</v>
      </c>
      <c r="I37" s="31">
        <v>-161.69999999999999</v>
      </c>
      <c r="J37" s="30" t="s">
        <v>152</v>
      </c>
      <c r="K37" s="31">
        <v>-169.3</v>
      </c>
      <c r="L37" s="30" t="s">
        <v>152</v>
      </c>
      <c r="M37" s="31">
        <v>-169.3</v>
      </c>
      <c r="N37" s="31" t="s">
        <v>152</v>
      </c>
      <c r="O37" s="31">
        <v>-161.69999999999999</v>
      </c>
      <c r="P37" s="31" t="s">
        <v>152</v>
      </c>
      <c r="Q37" s="31">
        <v>-161.69999999999999</v>
      </c>
    </row>
    <row r="38" spans="1:17" ht="15">
      <c r="A38" s="16" t="s">
        <v>24</v>
      </c>
      <c r="B38" s="30">
        <v>-169.3</v>
      </c>
      <c r="C38" s="31" t="s">
        <v>113</v>
      </c>
      <c r="D38" s="30">
        <v>-169.3</v>
      </c>
      <c r="E38" s="31" t="s">
        <v>113</v>
      </c>
      <c r="F38" s="31">
        <v>-165.7</v>
      </c>
      <c r="G38" s="31" t="s">
        <v>113</v>
      </c>
      <c r="H38" s="31">
        <v>-165.7</v>
      </c>
      <c r="I38" s="31" t="s">
        <v>113</v>
      </c>
      <c r="J38" s="30">
        <v>-169.3</v>
      </c>
      <c r="K38" s="31" t="s">
        <v>152</v>
      </c>
      <c r="L38" s="30">
        <v>-169.3</v>
      </c>
      <c r="M38" s="31" t="s">
        <v>152</v>
      </c>
      <c r="N38" s="31">
        <v>-165.7</v>
      </c>
      <c r="O38" s="31" t="s">
        <v>152</v>
      </c>
      <c r="P38" s="31">
        <v>-165.7</v>
      </c>
      <c r="Q38" s="31" t="s">
        <v>152</v>
      </c>
    </row>
    <row r="39" spans="1:17" ht="30">
      <c r="A39" s="23" t="s">
        <v>205</v>
      </c>
      <c r="B39" s="35" t="s">
        <v>150</v>
      </c>
      <c r="C39" s="35">
        <f t="shared" ref="C39:I39" si="5">10*LOG10(10^((C35+C36)/10)+10^(C37/10))</f>
        <v>-164.98918835931039</v>
      </c>
      <c r="D39" s="35" t="s">
        <v>150</v>
      </c>
      <c r="E39" s="35">
        <f t="shared" si="5"/>
        <v>-164.98918835931039</v>
      </c>
      <c r="F39" s="35" t="s">
        <v>150</v>
      </c>
      <c r="G39" s="35">
        <f t="shared" si="5"/>
        <v>-160.9583889004532</v>
      </c>
      <c r="H39" s="35" t="s">
        <v>150</v>
      </c>
      <c r="I39" s="35">
        <f t="shared" si="5"/>
        <v>-160.9583889004532</v>
      </c>
      <c r="J39" s="35" t="s">
        <v>152</v>
      </c>
      <c r="K39" s="35">
        <f t="shared" ref="K39:Q39" si="6">10*LOG10(10^((K35+K36)/10)+10^(K37/10))</f>
        <v>-164.98918835931039</v>
      </c>
      <c r="L39" s="35" t="s">
        <v>152</v>
      </c>
      <c r="M39" s="35">
        <f t="shared" si="6"/>
        <v>-164.98918835931039</v>
      </c>
      <c r="N39" s="35" t="s">
        <v>152</v>
      </c>
      <c r="O39" s="35">
        <f t="shared" si="6"/>
        <v>-160.9583889004532</v>
      </c>
      <c r="P39" s="35" t="s">
        <v>152</v>
      </c>
      <c r="Q39" s="35">
        <f t="shared" si="6"/>
        <v>-160.9583889004532</v>
      </c>
    </row>
    <row r="40" spans="1:17" ht="30">
      <c r="A40" s="23" t="s">
        <v>206</v>
      </c>
      <c r="B40" s="35">
        <f t="shared" ref="B40:H40" si="7">10*LOG10(10^((B35+B36)/10)+10^(B38/10))</f>
        <v>-164.98918835931039</v>
      </c>
      <c r="C40" s="35" t="s">
        <v>150</v>
      </c>
      <c r="D40" s="35">
        <f t="shared" si="7"/>
        <v>-164.98918835931039</v>
      </c>
      <c r="E40" s="35" t="s">
        <v>150</v>
      </c>
      <c r="F40" s="35">
        <f t="shared" si="7"/>
        <v>-164.03352307536667</v>
      </c>
      <c r="G40" s="35" t="s">
        <v>150</v>
      </c>
      <c r="H40" s="35">
        <f t="shared" si="7"/>
        <v>-164.03352307536667</v>
      </c>
      <c r="I40" s="35" t="s">
        <v>150</v>
      </c>
      <c r="J40" s="35">
        <f t="shared" ref="J40:P40" si="8">10*LOG10(10^((J35+J36)/10)+10^(J38/10))</f>
        <v>-164.98918835931039</v>
      </c>
      <c r="K40" s="35" t="s">
        <v>152</v>
      </c>
      <c r="L40" s="35">
        <f t="shared" si="8"/>
        <v>-164.98918835931039</v>
      </c>
      <c r="M40" s="35" t="s">
        <v>152</v>
      </c>
      <c r="N40" s="35">
        <f t="shared" si="8"/>
        <v>-164.03352307536667</v>
      </c>
      <c r="O40" s="35" t="s">
        <v>152</v>
      </c>
      <c r="P40" s="35">
        <f t="shared" si="8"/>
        <v>-164.03352307536667</v>
      </c>
      <c r="Q40" s="35" t="s">
        <v>152</v>
      </c>
    </row>
    <row r="41" spans="1:17" ht="30">
      <c r="A41" s="16" t="s">
        <v>25</v>
      </c>
      <c r="B41" s="30" t="s">
        <v>113</v>
      </c>
      <c r="C41" s="30">
        <f>MaxN_RB!$F$6*12*15*1000</f>
        <v>19080000</v>
      </c>
      <c r="D41" s="30" t="s">
        <v>113</v>
      </c>
      <c r="E41" s="30">
        <f>MaxN_RB!$F$6*12*15*1000</f>
        <v>19080000</v>
      </c>
      <c r="F41" s="31" t="s">
        <v>113</v>
      </c>
      <c r="G41" s="31">
        <f>1*12*30*1000</f>
        <v>360000</v>
      </c>
      <c r="H41" s="31" t="s">
        <v>113</v>
      </c>
      <c r="I41" s="31">
        <f>1*12*30*1000</f>
        <v>360000</v>
      </c>
      <c r="J41" s="30" t="s">
        <v>152</v>
      </c>
      <c r="K41" s="30">
        <f>MaxN_RB!F7*12*30*1000</f>
        <v>18360000</v>
      </c>
      <c r="L41" s="30" t="s">
        <v>50</v>
      </c>
      <c r="M41" s="30">
        <f>MaxN_RB!F7*12*30*1000</f>
        <v>18360000</v>
      </c>
      <c r="N41" s="31" t="s">
        <v>50</v>
      </c>
      <c r="O41" s="31">
        <f>1*12*30*1000</f>
        <v>360000</v>
      </c>
      <c r="P41" s="31" t="s">
        <v>161</v>
      </c>
      <c r="Q41" s="31">
        <f>1*12*30*1000</f>
        <v>360000</v>
      </c>
    </row>
    <row r="42" spans="1:17" ht="30">
      <c r="A42" s="16" t="s">
        <v>26</v>
      </c>
      <c r="B42" s="30">
        <f>MaxN_RB!$F$7*12*30*1000</f>
        <v>18360000</v>
      </c>
      <c r="C42" s="31" t="s">
        <v>113</v>
      </c>
      <c r="D42" s="30">
        <f>MaxN_RB!$F$7*12*30*1000</f>
        <v>18360000</v>
      </c>
      <c r="E42" s="31" t="s">
        <v>113</v>
      </c>
      <c r="F42" s="31">
        <f>4*12*30*1000</f>
        <v>1440000</v>
      </c>
      <c r="G42" s="31" t="s">
        <v>113</v>
      </c>
      <c r="H42" s="31">
        <f>4*12*30*1000</f>
        <v>1440000</v>
      </c>
      <c r="I42" s="31" t="s">
        <v>113</v>
      </c>
      <c r="J42" s="30">
        <f>MaxN_RB!F7*12*30*1000</f>
        <v>18360000</v>
      </c>
      <c r="K42" s="31" t="s">
        <v>50</v>
      </c>
      <c r="L42" s="30">
        <f>MaxN_RB!F7*12*30*1000</f>
        <v>18360000</v>
      </c>
      <c r="M42" s="31" t="s">
        <v>50</v>
      </c>
      <c r="N42" s="31">
        <f>4*12*30*1000</f>
        <v>1440000</v>
      </c>
      <c r="O42" s="31" t="s">
        <v>157</v>
      </c>
      <c r="P42" s="31">
        <f>4*12*30*1000</f>
        <v>1440000</v>
      </c>
      <c r="Q42" s="31" t="s">
        <v>50</v>
      </c>
    </row>
    <row r="43" spans="1:17" ht="15">
      <c r="A43" s="21" t="s">
        <v>27</v>
      </c>
      <c r="B43" s="35" t="s">
        <v>150</v>
      </c>
      <c r="C43" s="35">
        <f t="shared" ref="B43:I44" si="9">C39+10*LOG10(C41)</f>
        <v>-92.18340465562963</v>
      </c>
      <c r="D43" s="35" t="s">
        <v>150</v>
      </c>
      <c r="E43" s="35">
        <f t="shared" si="9"/>
        <v>-92.18340465562963</v>
      </c>
      <c r="F43" s="35" t="s">
        <v>150</v>
      </c>
      <c r="G43" s="35">
        <f t="shared" si="9"/>
        <v>-105.39536389278032</v>
      </c>
      <c r="H43" s="35" t="s">
        <v>150</v>
      </c>
      <c r="I43" s="35">
        <f t="shared" si="9"/>
        <v>-105.39536389278032</v>
      </c>
      <c r="J43" s="35" t="s">
        <v>50</v>
      </c>
      <c r="K43" s="35">
        <f t="shared" ref="J43:Q44" si="10">K39+10*LOG10(K41)</f>
        <v>-92.350461590658156</v>
      </c>
      <c r="L43" s="35" t="s">
        <v>50</v>
      </c>
      <c r="M43" s="35">
        <f t="shared" si="10"/>
        <v>-92.350461590658156</v>
      </c>
      <c r="N43" s="35" t="s">
        <v>50</v>
      </c>
      <c r="O43" s="35">
        <f t="shared" si="10"/>
        <v>-105.39536389278032</v>
      </c>
      <c r="P43" s="35" t="s">
        <v>50</v>
      </c>
      <c r="Q43" s="35">
        <f t="shared" si="10"/>
        <v>-105.39536389278032</v>
      </c>
    </row>
    <row r="44" spans="1:17" ht="15">
      <c r="A44" s="21" t="s">
        <v>28</v>
      </c>
      <c r="B44" s="35">
        <f t="shared" si="9"/>
        <v>-92.350461590658156</v>
      </c>
      <c r="C44" s="35" t="s">
        <v>150</v>
      </c>
      <c r="D44" s="35">
        <f t="shared" si="9"/>
        <v>-92.350461590658156</v>
      </c>
      <c r="E44" s="35" t="s">
        <v>150</v>
      </c>
      <c r="F44" s="35">
        <f t="shared" si="9"/>
        <v>-102.44989815441417</v>
      </c>
      <c r="G44" s="35" t="s">
        <v>150</v>
      </c>
      <c r="H44" s="35">
        <f t="shared" si="9"/>
        <v>-102.44989815441417</v>
      </c>
      <c r="I44" s="35" t="s">
        <v>150</v>
      </c>
      <c r="J44" s="35">
        <f t="shared" si="10"/>
        <v>-92.350461590658156</v>
      </c>
      <c r="K44" s="35" t="s">
        <v>152</v>
      </c>
      <c r="L44" s="35">
        <f t="shared" si="10"/>
        <v>-92.350461590658156</v>
      </c>
      <c r="M44" s="35" t="s">
        <v>50</v>
      </c>
      <c r="N44" s="35">
        <f t="shared" si="10"/>
        <v>-102.44989815441417</v>
      </c>
      <c r="O44" s="35" t="s">
        <v>50</v>
      </c>
      <c r="P44" s="35">
        <f t="shared" si="10"/>
        <v>-102.44989815441417</v>
      </c>
      <c r="Q44" s="35" t="s">
        <v>50</v>
      </c>
    </row>
    <row r="45" spans="1:17" ht="15">
      <c r="A45" s="16" t="s">
        <v>29</v>
      </c>
      <c r="B45" s="30" t="s">
        <v>113</v>
      </c>
      <c r="C45" s="68">
        <v>-5.7</v>
      </c>
      <c r="D45" s="68" t="s">
        <v>113</v>
      </c>
      <c r="E45" s="68">
        <v>-5.9</v>
      </c>
      <c r="F45" s="30" t="s">
        <v>113</v>
      </c>
      <c r="G45" s="68">
        <v>-6</v>
      </c>
      <c r="H45" s="68" t="s">
        <v>113</v>
      </c>
      <c r="I45" s="68">
        <v>-6.7</v>
      </c>
      <c r="J45" s="68" t="s">
        <v>152</v>
      </c>
      <c r="K45" s="68">
        <v>-9.6999999999999993</v>
      </c>
      <c r="L45" s="68" t="s">
        <v>152</v>
      </c>
      <c r="M45" s="68">
        <v>-9.6999999999999993</v>
      </c>
      <c r="N45" s="68" t="s">
        <v>152</v>
      </c>
      <c r="O45" s="68">
        <v>-10</v>
      </c>
      <c r="P45" s="68" t="s">
        <v>152</v>
      </c>
      <c r="Q45" s="68">
        <v>-10</v>
      </c>
    </row>
    <row r="46" spans="1:17" s="76" customFormat="1" ht="15">
      <c r="A46" s="16" t="s">
        <v>30</v>
      </c>
      <c r="B46" s="30">
        <v>3</v>
      </c>
      <c r="C46" s="30" t="s">
        <v>113</v>
      </c>
      <c r="D46" s="30">
        <v>-0.1</v>
      </c>
      <c r="E46" s="30" t="s">
        <v>113</v>
      </c>
      <c r="F46" s="68">
        <v>2.29</v>
      </c>
      <c r="G46" s="30" t="s">
        <v>113</v>
      </c>
      <c r="H46" s="68">
        <v>1.27</v>
      </c>
      <c r="I46" s="30" t="s">
        <v>113</v>
      </c>
      <c r="J46" s="68">
        <v>-0.9</v>
      </c>
      <c r="K46" s="68" t="s">
        <v>152</v>
      </c>
      <c r="L46" s="68">
        <v>-2.5</v>
      </c>
      <c r="M46" s="68" t="s">
        <v>152</v>
      </c>
      <c r="N46" s="68">
        <v>-1.2</v>
      </c>
      <c r="O46" s="68" t="s">
        <v>152</v>
      </c>
      <c r="P46" s="68">
        <v>-1.3</v>
      </c>
      <c r="Q46" s="68" t="s">
        <v>152</v>
      </c>
    </row>
    <row r="47" spans="1:17" ht="15">
      <c r="A47" s="16" t="s">
        <v>31</v>
      </c>
      <c r="B47" s="30">
        <v>2</v>
      </c>
      <c r="C47" s="31">
        <v>2</v>
      </c>
      <c r="D47" s="30">
        <v>2</v>
      </c>
      <c r="E47" s="31">
        <v>2</v>
      </c>
      <c r="F47" s="31">
        <v>2</v>
      </c>
      <c r="G47" s="31">
        <v>2</v>
      </c>
      <c r="H47" s="31">
        <v>2</v>
      </c>
      <c r="I47" s="31">
        <v>2</v>
      </c>
      <c r="J47" s="30">
        <v>2</v>
      </c>
      <c r="K47" s="31">
        <v>2</v>
      </c>
      <c r="L47" s="30">
        <v>2</v>
      </c>
      <c r="M47" s="31">
        <v>2</v>
      </c>
      <c r="N47" s="31">
        <v>2</v>
      </c>
      <c r="O47" s="31">
        <v>2</v>
      </c>
      <c r="P47" s="31">
        <v>2</v>
      </c>
      <c r="Q47" s="31">
        <v>2</v>
      </c>
    </row>
    <row r="48" spans="1:17" ht="15">
      <c r="A48" s="16" t="s">
        <v>32</v>
      </c>
      <c r="B48" s="30" t="s">
        <v>113</v>
      </c>
      <c r="C48" s="31">
        <v>0</v>
      </c>
      <c r="D48" s="30" t="s">
        <v>113</v>
      </c>
      <c r="E48" s="31">
        <v>0</v>
      </c>
      <c r="F48" s="31" t="s">
        <v>113</v>
      </c>
      <c r="G48" s="31">
        <v>0</v>
      </c>
      <c r="H48" s="31" t="s">
        <v>113</v>
      </c>
      <c r="I48" s="31">
        <v>0</v>
      </c>
      <c r="J48" s="30" t="s">
        <v>50</v>
      </c>
      <c r="K48" s="31">
        <v>0</v>
      </c>
      <c r="L48" s="30" t="s">
        <v>152</v>
      </c>
      <c r="M48" s="31">
        <v>0</v>
      </c>
      <c r="N48" s="31" t="s">
        <v>152</v>
      </c>
      <c r="O48" s="31">
        <v>0</v>
      </c>
      <c r="P48" s="31" t="s">
        <v>152</v>
      </c>
      <c r="Q48" s="31">
        <v>0</v>
      </c>
    </row>
    <row r="49" spans="1:17" ht="15">
      <c r="A49" s="16" t="s">
        <v>33</v>
      </c>
      <c r="B49" s="30">
        <v>0.5</v>
      </c>
      <c r="C49" s="31" t="s">
        <v>113</v>
      </c>
      <c r="D49" s="30">
        <v>0.5</v>
      </c>
      <c r="E49" s="31" t="s">
        <v>113</v>
      </c>
      <c r="F49" s="31">
        <v>0.5</v>
      </c>
      <c r="G49" s="31" t="s">
        <v>113</v>
      </c>
      <c r="H49" s="31">
        <v>0.5</v>
      </c>
      <c r="I49" s="31" t="s">
        <v>113</v>
      </c>
      <c r="J49" s="30">
        <v>0.5</v>
      </c>
      <c r="K49" s="31" t="s">
        <v>152</v>
      </c>
      <c r="L49" s="30">
        <v>0.5</v>
      </c>
      <c r="M49" s="31" t="s">
        <v>152</v>
      </c>
      <c r="N49" s="31">
        <v>0.5</v>
      </c>
      <c r="O49" s="31" t="s">
        <v>152</v>
      </c>
      <c r="P49" s="31">
        <v>0.5</v>
      </c>
      <c r="Q49" s="31" t="s">
        <v>152</v>
      </c>
    </row>
    <row r="50" spans="1:17" ht="30">
      <c r="A50" s="23" t="s">
        <v>44</v>
      </c>
      <c r="B50" s="35" t="s">
        <v>150</v>
      </c>
      <c r="C50" s="35">
        <f t="shared" ref="C50:I50" si="11">C43+C45+C47-C48</f>
        <v>-95.883404655629633</v>
      </c>
      <c r="D50" s="35" t="s">
        <v>150</v>
      </c>
      <c r="E50" s="35">
        <f t="shared" si="11"/>
        <v>-96.083404655629636</v>
      </c>
      <c r="F50" s="35" t="s">
        <v>150</v>
      </c>
      <c r="G50" s="35">
        <f t="shared" si="11"/>
        <v>-109.39536389278032</v>
      </c>
      <c r="H50" s="35" t="s">
        <v>150</v>
      </c>
      <c r="I50" s="35">
        <f t="shared" si="11"/>
        <v>-110.09536389278033</v>
      </c>
      <c r="J50" s="35" t="s">
        <v>50</v>
      </c>
      <c r="K50" s="35">
        <f t="shared" ref="K50:Q50" si="12">K43+K45+K47-K48</f>
        <v>-100.05046159065816</v>
      </c>
      <c r="L50" s="35" t="s">
        <v>50</v>
      </c>
      <c r="M50" s="35">
        <f t="shared" si="12"/>
        <v>-100.05046159065816</v>
      </c>
      <c r="N50" s="35" t="s">
        <v>50</v>
      </c>
      <c r="O50" s="35">
        <f t="shared" si="12"/>
        <v>-113.39536389278032</v>
      </c>
      <c r="P50" s="35" t="s">
        <v>157</v>
      </c>
      <c r="Q50" s="35">
        <f t="shared" si="12"/>
        <v>-113.39536389278032</v>
      </c>
    </row>
    <row r="51" spans="1:17" ht="30">
      <c r="A51" s="23" t="s">
        <v>124</v>
      </c>
      <c r="B51" s="35">
        <f t="shared" ref="B51:H51" si="13">B44+B46+B47-B49</f>
        <v>-87.850461590658156</v>
      </c>
      <c r="C51" s="35" t="s">
        <v>150</v>
      </c>
      <c r="D51" s="35">
        <f t="shared" si="13"/>
        <v>-90.950461590658151</v>
      </c>
      <c r="E51" s="35" t="s">
        <v>150</v>
      </c>
      <c r="F51" s="35">
        <f t="shared" si="13"/>
        <v>-98.659898154414165</v>
      </c>
      <c r="G51" s="35" t="s">
        <v>150</v>
      </c>
      <c r="H51" s="35">
        <f t="shared" si="13"/>
        <v>-99.679898154414175</v>
      </c>
      <c r="I51" s="35" t="s">
        <v>150</v>
      </c>
      <c r="J51" s="35">
        <f t="shared" ref="J51:P51" si="14">J44+J46+J47-J49</f>
        <v>-91.750461590658162</v>
      </c>
      <c r="K51" s="35" t="s">
        <v>157</v>
      </c>
      <c r="L51" s="35">
        <f t="shared" si="14"/>
        <v>-93.350461590658156</v>
      </c>
      <c r="M51" s="35" t="s">
        <v>157</v>
      </c>
      <c r="N51" s="35">
        <f t="shared" si="14"/>
        <v>-102.14989815441417</v>
      </c>
      <c r="O51" s="35" t="s">
        <v>50</v>
      </c>
      <c r="P51" s="35">
        <f t="shared" si="14"/>
        <v>-102.24989815441417</v>
      </c>
      <c r="Q51" s="35" t="s">
        <v>50</v>
      </c>
    </row>
    <row r="52" spans="1:17" ht="30">
      <c r="A52" s="23" t="s">
        <v>125</v>
      </c>
      <c r="B52" s="35" t="s">
        <v>150</v>
      </c>
      <c r="C52" s="35">
        <f t="shared" ref="C52:I52" si="15">C27+C32+C33-C50</f>
        <v>169.04820396186665</v>
      </c>
      <c r="D52" s="35" t="s">
        <v>150</v>
      </c>
      <c r="E52" s="35">
        <f t="shared" si="15"/>
        <v>169.24820396186664</v>
      </c>
      <c r="F52" s="35" t="s">
        <v>150</v>
      </c>
      <c r="G52" s="35">
        <f t="shared" si="15"/>
        <v>160.47776354589882</v>
      </c>
      <c r="H52" s="35" t="s">
        <v>150</v>
      </c>
      <c r="I52" s="35">
        <f t="shared" si="15"/>
        <v>161.17776354589881</v>
      </c>
      <c r="J52" s="35" t="s">
        <v>157</v>
      </c>
      <c r="K52" s="35">
        <f t="shared" ref="K52:Q52" si="16">K27+K32+K33-K50</f>
        <v>173.21526089689516</v>
      </c>
      <c r="L52" s="35" t="s">
        <v>50</v>
      </c>
      <c r="M52" s="35">
        <f t="shared" si="16"/>
        <v>173.21526089689516</v>
      </c>
      <c r="N52" s="35" t="s">
        <v>162</v>
      </c>
      <c r="O52" s="35">
        <f t="shared" si="16"/>
        <v>164.47776354589882</v>
      </c>
      <c r="P52" s="35" t="s">
        <v>152</v>
      </c>
      <c r="Q52" s="35">
        <f t="shared" si="16"/>
        <v>164.47776354589882</v>
      </c>
    </row>
    <row r="53" spans="1:17" ht="33.75" customHeight="1">
      <c r="A53" s="23" t="s">
        <v>126</v>
      </c>
      <c r="B53" s="35">
        <f t="shared" ref="B53:H53" si="17">B28+B32+B33-B51</f>
        <v>161.01526089689514</v>
      </c>
      <c r="C53" s="35" t="s">
        <v>150</v>
      </c>
      <c r="D53" s="35">
        <f t="shared" si="17"/>
        <v>164.11526089689517</v>
      </c>
      <c r="E53" s="35" t="s">
        <v>150</v>
      </c>
      <c r="F53" s="35">
        <f t="shared" si="17"/>
        <v>149.74229780753268</v>
      </c>
      <c r="G53" s="35" t="s">
        <v>150</v>
      </c>
      <c r="H53" s="35">
        <f t="shared" si="17"/>
        <v>150.76229780753266</v>
      </c>
      <c r="I53" s="35" t="s">
        <v>150</v>
      </c>
      <c r="J53" s="35">
        <f t="shared" ref="J53:P53" si="18">J28+J32+J33-J51</f>
        <v>164.91526089689518</v>
      </c>
      <c r="K53" s="35" t="s">
        <v>50</v>
      </c>
      <c r="L53" s="35">
        <f t="shared" si="18"/>
        <v>166.51526089689514</v>
      </c>
      <c r="M53" s="35" t="s">
        <v>50</v>
      </c>
      <c r="N53" s="35">
        <f t="shared" si="18"/>
        <v>153.23229780753269</v>
      </c>
      <c r="O53" s="35" t="s">
        <v>50</v>
      </c>
      <c r="P53" s="35">
        <f t="shared" si="18"/>
        <v>153.33229780753265</v>
      </c>
      <c r="Q53" s="35" t="s">
        <v>50</v>
      </c>
    </row>
    <row r="54" spans="1:17">
      <c r="A54" s="15" t="s">
        <v>34</v>
      </c>
      <c r="B54" s="33"/>
      <c r="C54" s="33"/>
      <c r="D54" s="33"/>
      <c r="E54" s="33"/>
      <c r="F54" s="33"/>
      <c r="G54" s="33"/>
      <c r="H54" s="33"/>
      <c r="I54" s="33"/>
      <c r="J54" s="33"/>
      <c r="K54" s="33"/>
      <c r="L54" s="33"/>
      <c r="M54" s="33"/>
      <c r="N54" s="33"/>
      <c r="O54" s="33"/>
      <c r="P54" s="33"/>
      <c r="Q54" s="33"/>
    </row>
    <row r="55" spans="1:17" ht="15">
      <c r="A55" s="16" t="s">
        <v>35</v>
      </c>
      <c r="B55" s="31">
        <v>6</v>
      </c>
      <c r="C55" s="31">
        <v>6</v>
      </c>
      <c r="D55" s="90">
        <v>7</v>
      </c>
      <c r="E55" s="90">
        <v>7</v>
      </c>
      <c r="F55" s="31">
        <v>6</v>
      </c>
      <c r="G55" s="31">
        <v>6</v>
      </c>
      <c r="H55" s="90">
        <v>7</v>
      </c>
      <c r="I55" s="90">
        <v>7</v>
      </c>
      <c r="J55" s="67">
        <v>4</v>
      </c>
      <c r="K55" s="67">
        <v>4</v>
      </c>
      <c r="L55" s="67">
        <v>7</v>
      </c>
      <c r="M55" s="67">
        <v>7</v>
      </c>
      <c r="N55" s="67">
        <v>4</v>
      </c>
      <c r="O55" s="67">
        <v>4</v>
      </c>
      <c r="P55" s="67">
        <v>7</v>
      </c>
      <c r="Q55" s="67">
        <v>7</v>
      </c>
    </row>
    <row r="56" spans="1:17" ht="30">
      <c r="A56" s="16" t="s">
        <v>36</v>
      </c>
      <c r="B56" s="74" t="s">
        <v>113</v>
      </c>
      <c r="C56" s="30">
        <v>8.07</v>
      </c>
      <c r="D56" s="94" t="s">
        <v>50</v>
      </c>
      <c r="E56" s="90">
        <f>(8.22+6.9)/2</f>
        <v>7.5600000000000005</v>
      </c>
      <c r="F56" s="74" t="s">
        <v>113</v>
      </c>
      <c r="G56" s="30">
        <v>8.07</v>
      </c>
      <c r="H56" s="94" t="s">
        <v>50</v>
      </c>
      <c r="I56" s="90">
        <f>(8.22+6.9)/2</f>
        <v>7.5600000000000005</v>
      </c>
      <c r="J56" s="79" t="s">
        <v>157</v>
      </c>
      <c r="K56" s="68">
        <v>6.11</v>
      </c>
      <c r="L56" s="83" t="s">
        <v>157</v>
      </c>
      <c r="M56" s="67">
        <v>8.4</v>
      </c>
      <c r="N56" s="79" t="s">
        <v>50</v>
      </c>
      <c r="O56" s="68">
        <v>6.11</v>
      </c>
      <c r="P56" s="83" t="s">
        <v>157</v>
      </c>
      <c r="Q56" s="67">
        <v>8.4</v>
      </c>
    </row>
    <row r="57" spans="1:17" ht="30">
      <c r="A57" s="16" t="s">
        <v>37</v>
      </c>
      <c r="B57" s="30">
        <v>4.8499999999999996</v>
      </c>
      <c r="C57" s="74" t="s">
        <v>113</v>
      </c>
      <c r="D57" s="90">
        <f>(4.98+3.98)/2</f>
        <v>4.4800000000000004</v>
      </c>
      <c r="E57" s="94" t="s">
        <v>50</v>
      </c>
      <c r="F57" s="30">
        <v>4.8499999999999996</v>
      </c>
      <c r="G57" s="74" t="s">
        <v>113</v>
      </c>
      <c r="H57" s="90">
        <f>(4.98+3.98)/2</f>
        <v>4.4800000000000004</v>
      </c>
      <c r="I57" s="94" t="s">
        <v>50</v>
      </c>
      <c r="J57" s="68">
        <v>3.36</v>
      </c>
      <c r="K57" s="79" t="s">
        <v>157</v>
      </c>
      <c r="L57" s="67">
        <v>5.64</v>
      </c>
      <c r="M57" s="83" t="s">
        <v>152</v>
      </c>
      <c r="N57" s="68">
        <v>3.36</v>
      </c>
      <c r="O57" s="79" t="s">
        <v>50</v>
      </c>
      <c r="P57" s="67">
        <v>5.64</v>
      </c>
      <c r="Q57" s="67" t="s">
        <v>157</v>
      </c>
    </row>
    <row r="58" spans="1:17" ht="15">
      <c r="A58" s="16" t="s">
        <v>38</v>
      </c>
      <c r="B58" s="30">
        <v>0</v>
      </c>
      <c r="C58" s="30">
        <v>0</v>
      </c>
      <c r="D58" s="30">
        <v>0</v>
      </c>
      <c r="E58" s="30">
        <v>0</v>
      </c>
      <c r="F58" s="30">
        <v>0</v>
      </c>
      <c r="G58" s="30">
        <v>0</v>
      </c>
      <c r="H58" s="30">
        <v>0</v>
      </c>
      <c r="I58" s="30">
        <v>0</v>
      </c>
      <c r="J58" s="68">
        <v>0</v>
      </c>
      <c r="K58" s="68">
        <v>0</v>
      </c>
      <c r="L58" s="68">
        <v>0</v>
      </c>
      <c r="M58" s="68">
        <v>0</v>
      </c>
      <c r="N58" s="68">
        <v>0</v>
      </c>
      <c r="O58" s="68">
        <v>0</v>
      </c>
      <c r="P58" s="68">
        <v>0</v>
      </c>
      <c r="Q58" s="68">
        <v>0</v>
      </c>
    </row>
    <row r="59" spans="1:17" ht="16.5" customHeight="1">
      <c r="A59" s="16" t="s">
        <v>39</v>
      </c>
      <c r="B59" s="30">
        <v>9</v>
      </c>
      <c r="C59" s="30">
        <v>9</v>
      </c>
      <c r="D59" s="30">
        <v>26.25</v>
      </c>
      <c r="E59" s="30">
        <v>26.25</v>
      </c>
      <c r="F59" s="30">
        <v>9</v>
      </c>
      <c r="G59" s="30">
        <v>9</v>
      </c>
      <c r="H59" s="30">
        <v>26.25</v>
      </c>
      <c r="I59" s="30">
        <v>26.25</v>
      </c>
      <c r="J59" s="68">
        <v>9</v>
      </c>
      <c r="K59" s="68">
        <v>9</v>
      </c>
      <c r="L59" s="68">
        <v>26.25</v>
      </c>
      <c r="M59" s="68">
        <v>26.25</v>
      </c>
      <c r="N59" s="68">
        <v>9</v>
      </c>
      <c r="O59" s="68">
        <v>9</v>
      </c>
      <c r="P59" s="68">
        <v>26.25</v>
      </c>
      <c r="Q59" s="68">
        <v>26.25</v>
      </c>
    </row>
    <row r="60" spans="1:17" ht="15">
      <c r="A60" s="16" t="s">
        <v>40</v>
      </c>
      <c r="B60" s="31">
        <v>0</v>
      </c>
      <c r="C60" s="31">
        <v>0</v>
      </c>
      <c r="D60" s="31">
        <v>0</v>
      </c>
      <c r="E60" s="31">
        <v>0</v>
      </c>
      <c r="F60" s="31">
        <v>0</v>
      </c>
      <c r="G60" s="31">
        <v>0</v>
      </c>
      <c r="H60" s="31">
        <v>0</v>
      </c>
      <c r="I60" s="31">
        <v>0</v>
      </c>
      <c r="J60" s="31">
        <v>0</v>
      </c>
      <c r="K60" s="31">
        <v>0</v>
      </c>
      <c r="L60" s="31">
        <v>0</v>
      </c>
      <c r="M60" s="31">
        <v>0</v>
      </c>
      <c r="N60" s="31">
        <v>0</v>
      </c>
      <c r="O60" s="31">
        <v>0</v>
      </c>
      <c r="P60" s="31">
        <v>0</v>
      </c>
      <c r="Q60" s="31">
        <v>0</v>
      </c>
    </row>
    <row r="61" spans="1:17" ht="30">
      <c r="A61" s="23" t="s">
        <v>118</v>
      </c>
      <c r="B61" s="35" t="s">
        <v>150</v>
      </c>
      <c r="C61" s="35">
        <f t="shared" ref="C61:I61" si="19">C52-C56+C58-C59+C60-C34</f>
        <v>150.97820396186665</v>
      </c>
      <c r="D61" s="35" t="s">
        <v>150</v>
      </c>
      <c r="E61" s="35">
        <f t="shared" si="19"/>
        <v>134.43820396186663</v>
      </c>
      <c r="F61" s="35" t="s">
        <v>150</v>
      </c>
      <c r="G61" s="35">
        <f t="shared" si="19"/>
        <v>140.40776354589883</v>
      </c>
      <c r="H61" s="35" t="s">
        <v>150</v>
      </c>
      <c r="I61" s="35">
        <f t="shared" si="19"/>
        <v>124.36776354589881</v>
      </c>
      <c r="J61" s="35" t="s">
        <v>157</v>
      </c>
      <c r="K61" s="35">
        <f t="shared" ref="K61:Q61" si="20">K52-K56+K58-K59+K60-K34</f>
        <v>157.10526089689515</v>
      </c>
      <c r="L61" s="35" t="s">
        <v>157</v>
      </c>
      <c r="M61" s="35">
        <f t="shared" si="20"/>
        <v>137.56526089689515</v>
      </c>
      <c r="N61" s="35" t="s">
        <v>152</v>
      </c>
      <c r="O61" s="35">
        <f t="shared" si="20"/>
        <v>146.36776354589881</v>
      </c>
      <c r="P61" s="35" t="s">
        <v>157</v>
      </c>
      <c r="Q61" s="35">
        <f t="shared" si="20"/>
        <v>126.82776354589882</v>
      </c>
    </row>
    <row r="62" spans="1:17" ht="30">
      <c r="A62" s="23" t="s">
        <v>46</v>
      </c>
      <c r="B62" s="35">
        <f t="shared" ref="B62:H62" si="21">B53-B57+B58-B59+B60-B34</f>
        <v>146.16526089689515</v>
      </c>
      <c r="C62" s="35" t="s">
        <v>150</v>
      </c>
      <c r="D62" s="35">
        <f t="shared" si="21"/>
        <v>132.38526089689518</v>
      </c>
      <c r="E62" s="35" t="s">
        <v>150</v>
      </c>
      <c r="F62" s="35">
        <f t="shared" si="21"/>
        <v>132.89229780753269</v>
      </c>
      <c r="G62" s="35" t="s">
        <v>150</v>
      </c>
      <c r="H62" s="35">
        <f t="shared" si="21"/>
        <v>117.03229780753267</v>
      </c>
      <c r="I62" s="35" t="s">
        <v>150</v>
      </c>
      <c r="J62" s="35">
        <f t="shared" ref="J62:P62" si="22">J53-J57+J58-J59+J60-J34</f>
        <v>151.55526089689516</v>
      </c>
      <c r="K62" s="35" t="s">
        <v>152</v>
      </c>
      <c r="L62" s="35">
        <f t="shared" si="22"/>
        <v>133.62526089689516</v>
      </c>
      <c r="M62" s="35" t="s">
        <v>152</v>
      </c>
      <c r="N62" s="35">
        <f t="shared" si="22"/>
        <v>137.87229780753268</v>
      </c>
      <c r="O62" s="35" t="s">
        <v>152</v>
      </c>
      <c r="P62" s="35">
        <f t="shared" si="22"/>
        <v>118.44229780753267</v>
      </c>
      <c r="Q62" s="35" t="s">
        <v>50</v>
      </c>
    </row>
    <row r="63" spans="1:17">
      <c r="A63" s="15" t="s">
        <v>41</v>
      </c>
      <c r="B63" s="33"/>
      <c r="C63" s="33"/>
      <c r="D63" s="33"/>
      <c r="E63" s="33"/>
      <c r="F63" s="33"/>
      <c r="G63" s="33"/>
      <c r="H63" s="33"/>
      <c r="I63" s="33"/>
      <c r="J63" s="33"/>
      <c r="K63" s="33"/>
      <c r="L63" s="33"/>
      <c r="M63" s="33"/>
      <c r="N63" s="33"/>
      <c r="O63" s="33"/>
      <c r="P63" s="33"/>
      <c r="Q63" s="33"/>
    </row>
    <row r="64" spans="1:17" ht="30">
      <c r="A64" s="24" t="s">
        <v>42</v>
      </c>
      <c r="B64" s="31" t="s">
        <v>113</v>
      </c>
      <c r="C64" s="31">
        <f>10^((C61-161.04+7.1*LOG10(20)-7.5*LOG10(20)+(24.37-3.7*(20/C5)^2)*LOG10(C5)-20*LOG10(C4)+(3.2*(LOG10(17.625))^2-4.97)+0.6*(C6-1.5))/(43.42-3.1*LOG10(C5))+3)</f>
        <v>1614.6610934401747</v>
      </c>
      <c r="D64" s="31" t="s">
        <v>113</v>
      </c>
      <c r="E64" s="31">
        <f>10^((E61-161.04+7.1*LOG10(20)-7.5*LOG10(20)+(24.37-3.7*(20/E5)^2)*LOG10(E5)-20*LOG10(E4)+(3.2*(LOG10(17.625))^2-4.97)+0.6*(E6-1.5))/(43.42-3.1*LOG10(E5))+3)</f>
        <v>609.41920767297006</v>
      </c>
      <c r="F64" s="31" t="s">
        <v>113</v>
      </c>
      <c r="G64" s="31">
        <f>10^((G61-161.04+7.1*LOG10(20)-7.5*LOG10(20)+(24.37-3.7*(20/G5)^2)*LOG10(G5)-20*LOG10(G4)+(3.2*(LOG10(17.625))^2-4.97)+0.6*(G6-1.5))/(43.42-3.1*LOG10(G5))+3)</f>
        <v>866.25045093393442</v>
      </c>
      <c r="H64" s="31" t="s">
        <v>113</v>
      </c>
      <c r="I64" s="31">
        <f>10^((I61-161.04+7.1*LOG10(20)-7.5*LOG10(20)+(24.37-3.7*(20/I5)^2)*LOG10(I5)-20*LOG10(I4)+(3.2*(LOG10(17.625))^2-4.97)+0.6*(I6-1.5))/(43.42-3.1*LOG10(I5))+3)</f>
        <v>336.72116008526348</v>
      </c>
      <c r="J64" s="31" t="s">
        <v>157</v>
      </c>
      <c r="K64" s="31">
        <f>10^((K61-161.04+7.1*LOG10(20)-7.5*LOG10(20)+(24.37-3.7*(20/K5)^2)*LOG10(K5)-20*LOG10(K4)+(3.2*(LOG10(17.625))^2-4.97)+0.6*(K6-1.5))/(43.42-3.1*LOG10(K5))+3)</f>
        <v>2316.5313633999162</v>
      </c>
      <c r="L64" s="31" t="s">
        <v>152</v>
      </c>
      <c r="M64" s="31">
        <f>10^((M61-161.04+7.1*LOG10(20)-7.5*LOG10(20)+(24.37-3.7*(20/M5)^2)*LOG10(M5)-20*LOG10(M4)+(3.2*(LOG10(17.625))^2-4.97)+0.6*(M6-1.5))/(43.42-3.1*LOG10(M5))+3)</f>
        <v>732.68934337397775</v>
      </c>
      <c r="N64" s="31" t="s">
        <v>152</v>
      </c>
      <c r="O64" s="31">
        <f>10^((O61-161.04+7.1*LOG10(20)-7.5*LOG10(20)+(24.37-3.7*(20/O5)^2)*LOG10(O5)-20*LOG10(O4)+(3.2*(LOG10(17.625))^2-4.97)+0.6*(O6-1.5))/(43.42-3.1*LOG10(O5))+3)</f>
        <v>1230.6264165733896</v>
      </c>
      <c r="P64" s="31" t="s">
        <v>50</v>
      </c>
      <c r="Q64" s="31">
        <f>10^((Q61-161.04+7.1*LOG10(20)-7.5*LOG10(20)+(24.37-3.7*(20/Q5)^2)*LOG10(Q5)-20*LOG10(Q4)+(3.2*(LOG10(17.625))^2-4.97)+0.6*(Q6-1.5))/(43.42-3.1*LOG10(Q5))+3)</f>
        <v>389.23144980626353</v>
      </c>
    </row>
    <row r="65" spans="1:17" ht="30">
      <c r="A65" s="24" t="s">
        <v>43</v>
      </c>
      <c r="B65" s="31">
        <f>10^((B62-161.04+7.1*LOG10(20)-7.5*LOG10(20)+(24.37-3.7*(20/B5)^2)*LOG10(B5)-20*LOG10(B4)+(3.2*(LOG10(17.625))^2-4.97)+0.6*(B6-1.5))/(43.42-3.1*LOG10(B5))+3)</f>
        <v>1216.0329240535029</v>
      </c>
      <c r="C65" s="31" t="s">
        <v>113</v>
      </c>
      <c r="D65" s="31">
        <f>10^((D62-161.04+7.1*LOG10(20)-7.5*LOG10(20)+(24.37-3.7*(20/D5)^2)*LOG10(D5)-20*LOG10(D4)+(3.2*(LOG10(17.625))^2-4.97)+0.6*(D6-1.5))/(43.42-3.1*LOG10(D5))+3)</f>
        <v>539.99894666845307</v>
      </c>
      <c r="E65" s="31" t="s">
        <v>113</v>
      </c>
      <c r="F65" s="31">
        <f>10^((F62-161.04+7.1*LOG10(20)-7.5*LOG10(20)+(24.37-3.7*(20/F5)^2)*LOG10(F5)-20*LOG10(F4)+(3.2*(LOG10(17.625))^2-4.97)+0.6*(F6-1.5))/(43.42-3.1*LOG10(F5))+3)</f>
        <v>556.37182037149205</v>
      </c>
      <c r="G65" s="31" t="s">
        <v>113</v>
      </c>
      <c r="H65" s="31">
        <f>10^((H62-161.04+7.1*LOG10(20)-7.5*LOG10(20)+(24.37-3.7*(20/H5)^2)*LOG10(H5)-20*LOG10(H4)+(3.2*(LOG10(17.625))^2-4.97)+0.6*(H6-1.5))/(43.42-3.1*LOG10(H5))+3)</f>
        <v>218.5733681397289</v>
      </c>
      <c r="I65" s="31" t="s">
        <v>113</v>
      </c>
      <c r="J65" s="31">
        <f>10^((J62-161.04+7.1*LOG10(20)-7.5*LOG10(20)+(24.37-3.7*(20/J5)^2)*LOG10(J5)-20*LOG10(J4)+(3.2*(LOG10(17.625))^2-4.97)+0.6*(J6-1.5))/(43.42-3.1*LOG10(J5))+3)</f>
        <v>1670.4943480515597</v>
      </c>
      <c r="K65" s="31" t="s">
        <v>162</v>
      </c>
      <c r="L65" s="31">
        <f>10^((L62-161.04+7.1*LOG10(20)-7.5*LOG10(20)+(24.37-3.7*(20/L5)^2)*LOG10(L5)-20*LOG10(L4)+(3.2*(LOG10(17.625))^2-4.97)+0.6*(L6-1.5))/(43.42-3.1*LOG10(L5))+3)</f>
        <v>580.92158508557986</v>
      </c>
      <c r="M65" s="31" t="s">
        <v>157</v>
      </c>
      <c r="N65" s="31">
        <f>10^((N62-161.04+7.1*LOG10(20)-7.5*LOG10(20)+(24.37-3.7*(20/N5)^2)*LOG10(N5)-20*LOG10(N4)+(3.2*(LOG10(17.625))^2-4.97)+0.6*(N6-1.5))/(43.42-3.1*LOG10(N5))+3)</f>
        <v>746.06250907777996</v>
      </c>
      <c r="O65" s="31" t="s">
        <v>152</v>
      </c>
      <c r="P65" s="31">
        <f>10^((P62-161.04+7.1*LOG10(20)-7.5*LOG10(20)+(24.37-3.7*(20/P5)^2)*LOG10(P5)-20*LOG10(P4)+(3.2*(LOG10(17.625))^2-4.97)+0.6*(P6-1.5))/(43.42-3.1*LOG10(P5))+3)</f>
        <v>237.50414097711857</v>
      </c>
      <c r="Q65" s="31" t="s">
        <v>152</v>
      </c>
    </row>
    <row r="66" spans="1:17" ht="18">
      <c r="A66" s="24" t="s">
        <v>94</v>
      </c>
      <c r="B66" s="31" t="s">
        <v>113</v>
      </c>
      <c r="C66" s="31">
        <f>PI()*(C64)^2</f>
        <v>8190541.8582069278</v>
      </c>
      <c r="D66" s="31" t="s">
        <v>113</v>
      </c>
      <c r="E66" s="31">
        <f>PI()*(E64)^2</f>
        <v>1166761.6583743512</v>
      </c>
      <c r="F66" s="31" t="s">
        <v>113</v>
      </c>
      <c r="G66" s="31">
        <f>PI()*(G64)^2</f>
        <v>2357419.2204321707</v>
      </c>
      <c r="H66" s="31" t="s">
        <v>113</v>
      </c>
      <c r="I66" s="31">
        <f>PI()*(I64)^2</f>
        <v>356197.35537745716</v>
      </c>
      <c r="J66" s="31" t="s">
        <v>152</v>
      </c>
      <c r="K66" s="31">
        <f>PI()*(K64)^2</f>
        <v>16858783.815834697</v>
      </c>
      <c r="L66" s="31" t="s">
        <v>50</v>
      </c>
      <c r="M66" s="31">
        <f>PI()*(M64)^2</f>
        <v>1686512.7261043515</v>
      </c>
      <c r="N66" s="31" t="s">
        <v>152</v>
      </c>
      <c r="O66" s="31">
        <f>PI()*(O64)^2</f>
        <v>4757757.9048042204</v>
      </c>
      <c r="P66" s="31" t="s">
        <v>152</v>
      </c>
      <c r="Q66" s="31">
        <f>PI()*(Q64)^2</f>
        <v>475954.81037246127</v>
      </c>
    </row>
    <row r="67" spans="1:17" ht="18">
      <c r="A67" s="24" t="s">
        <v>95</v>
      </c>
      <c r="B67" s="31">
        <f>PI()*(B65)^2</f>
        <v>4645586.3815938691</v>
      </c>
      <c r="C67" s="31" t="s">
        <v>113</v>
      </c>
      <c r="D67" s="31">
        <f>PI()*(D65)^2</f>
        <v>916084.84392052772</v>
      </c>
      <c r="E67" s="31" t="s">
        <v>113</v>
      </c>
      <c r="F67" s="31">
        <f>PI()*(F65)^2</f>
        <v>972478.75714659807</v>
      </c>
      <c r="G67" s="31" t="s">
        <v>113</v>
      </c>
      <c r="H67" s="31">
        <f>PI()*(H65)^2</f>
        <v>150087.44413411271</v>
      </c>
      <c r="I67" s="31" t="s">
        <v>113</v>
      </c>
      <c r="J67" s="31">
        <f>PI()*(J65)^2</f>
        <v>8766775.6736306753</v>
      </c>
      <c r="K67" s="31" t="s">
        <v>152</v>
      </c>
      <c r="L67" s="31">
        <f>PI()*(L65)^2</f>
        <v>1060192.9210061952</v>
      </c>
      <c r="M67" s="31" t="s">
        <v>152</v>
      </c>
      <c r="N67" s="31">
        <f>PI()*(N65)^2</f>
        <v>1748639.5855454167</v>
      </c>
      <c r="O67" s="31" t="s">
        <v>152</v>
      </c>
      <c r="P67" s="31">
        <f>PI()*(P65)^2</f>
        <v>177211.64007048515</v>
      </c>
      <c r="Q67" s="31" t="s">
        <v>152</v>
      </c>
    </row>
    <row r="69" spans="1:17">
      <c r="J69" s="72"/>
    </row>
  </sheetData>
  <mergeCells count="4">
    <mergeCell ref="B1:E1"/>
    <mergeCell ref="F1:I1"/>
    <mergeCell ref="J1:M1"/>
    <mergeCell ref="N1:Q1"/>
  </mergeCells>
  <phoneticPr fontId="1" type="noConversion"/>
  <dataValidations count="1">
    <dataValidation type="list" allowBlank="1" showInputMessage="1" showErrorMessage="1" sqref="F34:H34 B26:E26 N34:P34 J26:M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85" zoomScaleNormal="85" workbookViewId="0">
      <pane xSplit="1" ySplit="2" topLeftCell="B3" activePane="bottomRight" state="frozen"/>
      <selection pane="topRight" activeCell="B1" sqref="B1"/>
      <selection pane="bottomLeft" activeCell="A3" sqref="A3"/>
      <selection pane="bottomRight" activeCell="A70" sqref="A70"/>
    </sheetView>
  </sheetViews>
  <sheetFormatPr defaultColWidth="8.875" defaultRowHeight="14.25"/>
  <cols>
    <col min="1" max="1" width="69" style="42" customWidth="1"/>
    <col min="2" max="2" width="22.625" style="38" bestFit="1" customWidth="1"/>
    <col min="3" max="3" width="18.375" style="38" bestFit="1" customWidth="1"/>
    <col min="4" max="4" width="18.625" style="38" customWidth="1"/>
    <col min="5" max="5" width="19.375" style="38" customWidth="1"/>
    <col min="6" max="6" width="20.125" style="42" customWidth="1"/>
    <col min="7" max="8" width="18.125" style="42" customWidth="1"/>
    <col min="9" max="9" width="17.375" style="42" customWidth="1"/>
  </cols>
  <sheetData>
    <row r="1" spans="1:9">
      <c r="A1" s="48" t="s">
        <v>0</v>
      </c>
      <c r="B1" s="140" t="s">
        <v>104</v>
      </c>
      <c r="C1" s="140"/>
      <c r="D1" s="140"/>
      <c r="E1" s="141"/>
      <c r="F1" s="142" t="s">
        <v>105</v>
      </c>
      <c r="G1" s="142"/>
      <c r="H1" s="142"/>
      <c r="I1" s="142"/>
    </row>
    <row r="2" spans="1:9" ht="28.5">
      <c r="A2" s="49"/>
      <c r="B2" s="39" t="s">
        <v>225</v>
      </c>
      <c r="C2" s="39" t="s">
        <v>208</v>
      </c>
      <c r="D2" s="39" t="s">
        <v>226</v>
      </c>
      <c r="E2" s="39" t="s">
        <v>227</v>
      </c>
      <c r="F2" s="39" t="s">
        <v>228</v>
      </c>
      <c r="G2" s="39" t="s">
        <v>229</v>
      </c>
      <c r="H2" s="39" t="s">
        <v>230</v>
      </c>
      <c r="I2" s="39" t="s">
        <v>231</v>
      </c>
    </row>
    <row r="3" spans="1:9">
      <c r="A3" s="33" t="s">
        <v>1</v>
      </c>
      <c r="B3" s="50"/>
      <c r="C3" s="50"/>
      <c r="D3" s="50"/>
      <c r="E3" s="50"/>
      <c r="F3" s="50"/>
      <c r="G3" s="50"/>
      <c r="H3" s="50"/>
      <c r="I3" s="50"/>
    </row>
    <row r="4" spans="1:9" ht="15">
      <c r="A4" s="51" t="s">
        <v>2</v>
      </c>
      <c r="B4" s="32">
        <v>0.7</v>
      </c>
      <c r="C4" s="52">
        <v>0.7</v>
      </c>
      <c r="D4" s="32">
        <v>0.7</v>
      </c>
      <c r="E4" s="52">
        <v>0.7</v>
      </c>
      <c r="F4" s="32">
        <v>0.7</v>
      </c>
      <c r="G4" s="52">
        <v>0.7</v>
      </c>
      <c r="H4" s="32">
        <v>0.7</v>
      </c>
      <c r="I4" s="52">
        <v>0.7</v>
      </c>
    </row>
    <row r="5" spans="1:9" ht="15">
      <c r="A5" s="51" t="s">
        <v>3</v>
      </c>
      <c r="B5" s="52">
        <v>35</v>
      </c>
      <c r="C5" s="52">
        <v>35</v>
      </c>
      <c r="D5" s="52">
        <v>35</v>
      </c>
      <c r="E5" s="52">
        <v>35</v>
      </c>
      <c r="F5" s="52">
        <v>35</v>
      </c>
      <c r="G5" s="52">
        <v>35</v>
      </c>
      <c r="H5" s="52">
        <v>35</v>
      </c>
      <c r="I5" s="52">
        <v>35</v>
      </c>
    </row>
    <row r="6" spans="1:9" ht="15">
      <c r="A6" s="51" t="s">
        <v>4</v>
      </c>
      <c r="B6" s="32">
        <v>1.5</v>
      </c>
      <c r="C6" s="52">
        <v>1.5</v>
      </c>
      <c r="D6" s="32">
        <v>1.5</v>
      </c>
      <c r="E6" s="52">
        <v>1.5</v>
      </c>
      <c r="F6" s="32">
        <v>1.5</v>
      </c>
      <c r="G6" s="52">
        <v>1.5</v>
      </c>
      <c r="H6" s="32">
        <v>1.5</v>
      </c>
      <c r="I6" s="52">
        <v>1.5</v>
      </c>
    </row>
    <row r="7" spans="1:9" ht="15">
      <c r="A7" s="51" t="s">
        <v>202</v>
      </c>
      <c r="B7" s="17" t="s">
        <v>51</v>
      </c>
      <c r="C7" s="46">
        <v>0.95</v>
      </c>
      <c r="D7" s="17" t="s">
        <v>51</v>
      </c>
      <c r="E7" s="46">
        <v>0.95</v>
      </c>
      <c r="F7" s="46" t="s">
        <v>86</v>
      </c>
      <c r="G7" s="18">
        <v>0.95</v>
      </c>
      <c r="H7" s="46" t="s">
        <v>86</v>
      </c>
      <c r="I7" s="18">
        <v>0.95</v>
      </c>
    </row>
    <row r="8" spans="1:9" ht="15">
      <c r="A8" s="51" t="s">
        <v>203</v>
      </c>
      <c r="B8" s="17">
        <v>0.9</v>
      </c>
      <c r="C8" s="46" t="s">
        <v>86</v>
      </c>
      <c r="D8" s="17">
        <v>0.9</v>
      </c>
      <c r="E8" s="46" t="s">
        <v>86</v>
      </c>
      <c r="F8" s="46">
        <v>0.9</v>
      </c>
      <c r="G8" s="18" t="s">
        <v>51</v>
      </c>
      <c r="H8" s="46">
        <v>0.9</v>
      </c>
      <c r="I8" s="18" t="s">
        <v>51</v>
      </c>
    </row>
    <row r="9" spans="1:9" ht="15">
      <c r="A9" s="51" t="s">
        <v>5</v>
      </c>
      <c r="B9" s="30" t="s">
        <v>52</v>
      </c>
      <c r="C9" s="31">
        <f>64/(0.001)</f>
        <v>64000</v>
      </c>
      <c r="D9" s="30" t="s">
        <v>52</v>
      </c>
      <c r="E9" s="31">
        <f>64/(0.001)</f>
        <v>64000</v>
      </c>
      <c r="F9" s="52" t="s">
        <v>86</v>
      </c>
      <c r="G9" s="31">
        <f>2/(0.001)</f>
        <v>2000</v>
      </c>
      <c r="H9" s="52" t="s">
        <v>86</v>
      </c>
      <c r="I9" s="31">
        <f>2/(0.001)</f>
        <v>2000</v>
      </c>
    </row>
    <row r="10" spans="1:9" ht="30" customHeight="1">
      <c r="A10" s="51" t="s">
        <v>6</v>
      </c>
      <c r="B10" s="30">
        <f>1994400*3</f>
        <v>5983200</v>
      </c>
      <c r="C10" s="52" t="s">
        <v>86</v>
      </c>
      <c r="D10" s="30">
        <f>1994400*3</f>
        <v>5983200</v>
      </c>
      <c r="E10" s="52" t="s">
        <v>86</v>
      </c>
      <c r="F10" s="52">
        <f>187200*3</f>
        <v>561600</v>
      </c>
      <c r="G10" s="31" t="s">
        <v>51</v>
      </c>
      <c r="H10" s="52">
        <f>187200*3</f>
        <v>561600</v>
      </c>
      <c r="I10" s="31" t="s">
        <v>51</v>
      </c>
    </row>
    <row r="11" spans="1:9" ht="15">
      <c r="A11" s="51" t="s">
        <v>7</v>
      </c>
      <c r="B11" s="17" t="s">
        <v>51</v>
      </c>
      <c r="C11" s="46">
        <v>0.01</v>
      </c>
      <c r="D11" s="17" t="s">
        <v>51</v>
      </c>
      <c r="E11" s="46">
        <v>0.01</v>
      </c>
      <c r="F11" s="46" t="s">
        <v>86</v>
      </c>
      <c r="G11" s="18">
        <v>0.01</v>
      </c>
      <c r="H11" s="46" t="s">
        <v>86</v>
      </c>
      <c r="I11" s="18">
        <v>0.01</v>
      </c>
    </row>
    <row r="12" spans="1:9" ht="15">
      <c r="A12" s="51" t="s">
        <v>8</v>
      </c>
      <c r="B12" s="17">
        <v>0.1</v>
      </c>
      <c r="C12" s="46" t="s">
        <v>86</v>
      </c>
      <c r="D12" s="17">
        <v>0.1</v>
      </c>
      <c r="E12" s="46" t="s">
        <v>86</v>
      </c>
      <c r="F12" s="46">
        <v>0.1</v>
      </c>
      <c r="G12" s="18" t="s">
        <v>51</v>
      </c>
      <c r="H12" s="46">
        <v>0.1</v>
      </c>
      <c r="I12" s="18" t="s">
        <v>51</v>
      </c>
    </row>
    <row r="13" spans="1:9" ht="16.5">
      <c r="A13" s="51" t="s">
        <v>91</v>
      </c>
      <c r="B13" s="30">
        <f>B10/B42</f>
        <v>0.63923076923076927</v>
      </c>
      <c r="C13" s="52" t="s">
        <v>86</v>
      </c>
      <c r="D13" s="30">
        <f>D10/D42</f>
        <v>0.63923076923076927</v>
      </c>
      <c r="E13" s="52" t="s">
        <v>86</v>
      </c>
      <c r="F13" s="30">
        <f>F10/F42</f>
        <v>0.78</v>
      </c>
      <c r="G13" s="31" t="s">
        <v>52</v>
      </c>
      <c r="H13" s="30">
        <f>H10/H42</f>
        <v>0.78</v>
      </c>
      <c r="I13" s="31" t="s">
        <v>52</v>
      </c>
    </row>
    <row r="14" spans="1:9" ht="16.5">
      <c r="A14" s="51" t="s">
        <v>92</v>
      </c>
      <c r="B14" s="52" t="s">
        <v>84</v>
      </c>
      <c r="C14" s="52" t="s">
        <v>84</v>
      </c>
      <c r="D14" s="52" t="s">
        <v>85</v>
      </c>
      <c r="E14" s="52" t="s">
        <v>85</v>
      </c>
      <c r="F14" s="52" t="s">
        <v>84</v>
      </c>
      <c r="G14" s="52" t="s">
        <v>84</v>
      </c>
      <c r="H14" s="52" t="s">
        <v>85</v>
      </c>
      <c r="I14" s="52" t="s">
        <v>85</v>
      </c>
    </row>
    <row r="15" spans="1:9" ht="15">
      <c r="A15" s="51" t="s">
        <v>97</v>
      </c>
      <c r="B15" s="30">
        <v>120</v>
      </c>
      <c r="C15" s="31">
        <v>120</v>
      </c>
      <c r="D15" s="30">
        <v>3</v>
      </c>
      <c r="E15" s="31">
        <v>3</v>
      </c>
      <c r="F15" s="30">
        <v>120</v>
      </c>
      <c r="G15" s="31">
        <v>120</v>
      </c>
      <c r="H15" s="31">
        <v>3</v>
      </c>
      <c r="I15" s="31">
        <v>3</v>
      </c>
    </row>
    <row r="16" spans="1:9" ht="15">
      <c r="A16" s="51" t="s">
        <v>9</v>
      </c>
      <c r="B16" s="30">
        <v>3</v>
      </c>
      <c r="C16" s="52">
        <v>3</v>
      </c>
      <c r="D16" s="30">
        <v>3</v>
      </c>
      <c r="E16" s="52">
        <v>3</v>
      </c>
      <c r="F16" s="52">
        <v>3</v>
      </c>
      <c r="G16" s="31">
        <v>3</v>
      </c>
      <c r="H16" s="52">
        <v>3</v>
      </c>
      <c r="I16" s="31">
        <v>3</v>
      </c>
    </row>
    <row r="17" spans="1:9">
      <c r="A17" s="33" t="s">
        <v>10</v>
      </c>
      <c r="B17" s="50"/>
      <c r="C17" s="50"/>
      <c r="D17" s="50"/>
      <c r="E17" s="50"/>
      <c r="F17" s="50"/>
      <c r="G17" s="50"/>
      <c r="H17" s="50"/>
      <c r="I17" s="50"/>
    </row>
    <row r="18" spans="1:9" ht="30">
      <c r="A18" s="51" t="s">
        <v>98</v>
      </c>
      <c r="B18" s="30">
        <v>64</v>
      </c>
      <c r="C18" s="52">
        <v>64</v>
      </c>
      <c r="D18" s="30">
        <v>64</v>
      </c>
      <c r="E18" s="52">
        <v>64</v>
      </c>
      <c r="F18" s="31">
        <v>1</v>
      </c>
      <c r="G18" s="52">
        <v>1</v>
      </c>
      <c r="H18" s="31">
        <v>1</v>
      </c>
      <c r="I18" s="52">
        <v>1</v>
      </c>
    </row>
    <row r="19" spans="1:9" ht="15">
      <c r="A19" s="51" t="s">
        <v>141</v>
      </c>
      <c r="B19" s="30">
        <v>2</v>
      </c>
      <c r="C19" s="52">
        <v>2</v>
      </c>
      <c r="D19" s="30">
        <v>2</v>
      </c>
      <c r="E19" s="52">
        <v>2</v>
      </c>
      <c r="F19" s="31">
        <v>1</v>
      </c>
      <c r="G19" s="52">
        <v>1</v>
      </c>
      <c r="H19" s="31">
        <v>1</v>
      </c>
      <c r="I19" s="52">
        <v>1</v>
      </c>
    </row>
    <row r="20" spans="1:9" ht="15">
      <c r="A20" s="51" t="s">
        <v>11</v>
      </c>
      <c r="B20" s="30">
        <v>28</v>
      </c>
      <c r="C20" s="52">
        <v>28</v>
      </c>
      <c r="D20" s="30">
        <v>28</v>
      </c>
      <c r="E20" s="52">
        <v>28</v>
      </c>
      <c r="F20" s="31">
        <v>23</v>
      </c>
      <c r="G20" s="52">
        <v>23</v>
      </c>
      <c r="H20" s="31">
        <v>23</v>
      </c>
      <c r="I20" s="52">
        <v>23</v>
      </c>
    </row>
    <row r="21" spans="1:9" ht="30">
      <c r="A21" s="53" t="s">
        <v>99</v>
      </c>
      <c r="B21" s="36">
        <f t="shared" ref="B21:I21" si="0">B20+10*LOG10(B18)</f>
        <v>46.061799739838875</v>
      </c>
      <c r="C21" s="36">
        <f t="shared" si="0"/>
        <v>46.061799739838875</v>
      </c>
      <c r="D21" s="36">
        <f t="shared" si="0"/>
        <v>46.061799739838875</v>
      </c>
      <c r="E21" s="36">
        <f t="shared" si="0"/>
        <v>46.061799739838875</v>
      </c>
      <c r="F21" s="36">
        <f t="shared" si="0"/>
        <v>23</v>
      </c>
      <c r="G21" s="36">
        <f t="shared" si="0"/>
        <v>23</v>
      </c>
      <c r="H21" s="36">
        <f t="shared" si="0"/>
        <v>23</v>
      </c>
      <c r="I21" s="36">
        <f t="shared" si="0"/>
        <v>23</v>
      </c>
    </row>
    <row r="22" spans="1:9" ht="45" customHeight="1">
      <c r="A22" s="51" t="s">
        <v>12</v>
      </c>
      <c r="B22" s="30">
        <v>8</v>
      </c>
      <c r="C22" s="52">
        <v>8</v>
      </c>
      <c r="D22" s="30">
        <v>8</v>
      </c>
      <c r="E22" s="52">
        <v>8</v>
      </c>
      <c r="F22" s="31">
        <v>0</v>
      </c>
      <c r="G22" s="52">
        <v>0</v>
      </c>
      <c r="H22" s="31">
        <v>0</v>
      </c>
      <c r="I22" s="52">
        <v>0</v>
      </c>
    </row>
    <row r="23" spans="1:9" ht="30">
      <c r="A23" s="54" t="s">
        <v>13</v>
      </c>
      <c r="B23" s="36">
        <f t="shared" ref="B23:I23" si="1">IF(B18&gt;=2, 10*LOG10(B18/2), 0)</f>
        <v>15.051499783199061</v>
      </c>
      <c r="C23" s="36">
        <f t="shared" si="1"/>
        <v>15.051499783199061</v>
      </c>
      <c r="D23" s="36">
        <f t="shared" si="1"/>
        <v>15.051499783199061</v>
      </c>
      <c r="E23" s="36">
        <f t="shared" si="1"/>
        <v>15.051499783199061</v>
      </c>
      <c r="F23" s="36">
        <f t="shared" si="1"/>
        <v>0</v>
      </c>
      <c r="G23" s="36">
        <f t="shared" si="1"/>
        <v>0</v>
      </c>
      <c r="H23" s="36">
        <f t="shared" si="1"/>
        <v>0</v>
      </c>
      <c r="I23" s="36">
        <f t="shared" si="1"/>
        <v>0</v>
      </c>
    </row>
    <row r="24" spans="1:9" ht="15">
      <c r="A24" s="51" t="s">
        <v>14</v>
      </c>
      <c r="B24" s="30">
        <v>0</v>
      </c>
      <c r="C24" s="31">
        <v>0</v>
      </c>
      <c r="D24" s="30">
        <v>0</v>
      </c>
      <c r="E24" s="31">
        <v>0</v>
      </c>
      <c r="F24" s="31">
        <v>0</v>
      </c>
      <c r="G24" s="31">
        <v>0</v>
      </c>
      <c r="H24" s="31">
        <v>0</v>
      </c>
      <c r="I24" s="31">
        <v>0</v>
      </c>
    </row>
    <row r="25" spans="1:9" ht="15">
      <c r="A25" s="51" t="s">
        <v>15</v>
      </c>
      <c r="B25" s="30">
        <v>0</v>
      </c>
      <c r="C25" s="31">
        <v>0</v>
      </c>
      <c r="D25" s="30">
        <v>0</v>
      </c>
      <c r="E25" s="31">
        <v>0</v>
      </c>
      <c r="F25" s="31">
        <v>0</v>
      </c>
      <c r="G25" s="31">
        <v>0</v>
      </c>
      <c r="H25" s="31">
        <v>0</v>
      </c>
      <c r="I25" s="31">
        <v>0</v>
      </c>
    </row>
    <row r="26" spans="1:9" ht="30">
      <c r="A26" s="51" t="s">
        <v>16</v>
      </c>
      <c r="B26" s="30">
        <v>3</v>
      </c>
      <c r="C26" s="31">
        <v>3</v>
      </c>
      <c r="D26" s="30">
        <v>3</v>
      </c>
      <c r="E26" s="31">
        <v>3</v>
      </c>
      <c r="F26" s="31">
        <v>1</v>
      </c>
      <c r="G26" s="31">
        <v>1</v>
      </c>
      <c r="H26" s="31">
        <v>1</v>
      </c>
      <c r="I26" s="31">
        <v>1</v>
      </c>
    </row>
    <row r="27" spans="1:9" ht="15">
      <c r="A27" s="55" t="s">
        <v>17</v>
      </c>
      <c r="B27" s="35">
        <f t="shared" ref="B27:I27" si="2">B21+B22+B23+B24-B26</f>
        <v>66.113299523037938</v>
      </c>
      <c r="C27" s="35">
        <f t="shared" si="2"/>
        <v>66.113299523037938</v>
      </c>
      <c r="D27" s="35">
        <f t="shared" si="2"/>
        <v>66.113299523037938</v>
      </c>
      <c r="E27" s="35">
        <f t="shared" si="2"/>
        <v>66.113299523037938</v>
      </c>
      <c r="F27" s="35">
        <f t="shared" si="2"/>
        <v>22</v>
      </c>
      <c r="G27" s="35">
        <f t="shared" si="2"/>
        <v>22</v>
      </c>
      <c r="H27" s="35">
        <f t="shared" si="2"/>
        <v>22</v>
      </c>
      <c r="I27" s="35">
        <f t="shared" si="2"/>
        <v>22</v>
      </c>
    </row>
    <row r="28" spans="1:9" ht="15">
      <c r="A28" s="55" t="s">
        <v>18</v>
      </c>
      <c r="B28" s="35">
        <f t="shared" ref="B28:I28" si="3">B21+B22+B23-B25-B26</f>
        <v>66.113299523037938</v>
      </c>
      <c r="C28" s="35">
        <f t="shared" si="3"/>
        <v>66.113299523037938</v>
      </c>
      <c r="D28" s="35">
        <f t="shared" si="3"/>
        <v>66.113299523037938</v>
      </c>
      <c r="E28" s="35">
        <f t="shared" si="3"/>
        <v>66.113299523037938</v>
      </c>
      <c r="F28" s="35">
        <f t="shared" si="3"/>
        <v>22</v>
      </c>
      <c r="G28" s="35">
        <f t="shared" si="3"/>
        <v>22</v>
      </c>
      <c r="H28" s="35">
        <f t="shared" si="3"/>
        <v>22</v>
      </c>
      <c r="I28" s="35">
        <f t="shared" si="3"/>
        <v>22</v>
      </c>
    </row>
    <row r="29" spans="1:9">
      <c r="A29" s="33" t="s">
        <v>19</v>
      </c>
      <c r="B29" s="50"/>
      <c r="C29" s="50"/>
      <c r="D29" s="50"/>
      <c r="E29" s="50"/>
      <c r="F29" s="50"/>
      <c r="G29" s="50"/>
      <c r="H29" s="50"/>
      <c r="I29" s="50"/>
    </row>
    <row r="30" spans="1:9" ht="30">
      <c r="A30" s="51" t="s">
        <v>100</v>
      </c>
      <c r="B30" s="30">
        <v>2</v>
      </c>
      <c r="C30" s="52">
        <v>2</v>
      </c>
      <c r="D30" s="30">
        <v>2</v>
      </c>
      <c r="E30" s="52">
        <v>2</v>
      </c>
      <c r="F30" s="52">
        <v>64</v>
      </c>
      <c r="G30" s="52">
        <v>64</v>
      </c>
      <c r="H30" s="52">
        <v>64</v>
      </c>
      <c r="I30" s="52">
        <v>64</v>
      </c>
    </row>
    <row r="31" spans="1:9" ht="15">
      <c r="A31" s="51" t="s">
        <v>142</v>
      </c>
      <c r="B31" s="30">
        <v>2</v>
      </c>
      <c r="C31" s="52">
        <v>2</v>
      </c>
      <c r="D31" s="30">
        <v>2</v>
      </c>
      <c r="E31" s="52">
        <v>2</v>
      </c>
      <c r="F31" s="52">
        <v>2</v>
      </c>
      <c r="G31" s="52">
        <v>2</v>
      </c>
      <c r="H31" s="52">
        <v>2</v>
      </c>
      <c r="I31" s="52">
        <v>2</v>
      </c>
    </row>
    <row r="32" spans="1:9" ht="15">
      <c r="A32" s="51" t="s">
        <v>20</v>
      </c>
      <c r="B32" s="30">
        <v>0</v>
      </c>
      <c r="C32" s="52">
        <v>0</v>
      </c>
      <c r="D32" s="30">
        <v>0</v>
      </c>
      <c r="E32" s="52">
        <v>0</v>
      </c>
      <c r="F32" s="52">
        <v>8</v>
      </c>
      <c r="G32" s="52">
        <v>8</v>
      </c>
      <c r="H32" s="52">
        <v>8</v>
      </c>
      <c r="I32" s="52">
        <v>8</v>
      </c>
    </row>
    <row r="33" spans="1:9" ht="28.5">
      <c r="A33" s="56" t="s">
        <v>143</v>
      </c>
      <c r="B33" s="36">
        <f t="shared" ref="B33:I33" si="4">IF(B30&gt;=2, 10*LOG10(B30/2), 0)</f>
        <v>0</v>
      </c>
      <c r="C33" s="36">
        <f t="shared" si="4"/>
        <v>0</v>
      </c>
      <c r="D33" s="36">
        <f t="shared" si="4"/>
        <v>0</v>
      </c>
      <c r="E33" s="36">
        <f t="shared" si="4"/>
        <v>0</v>
      </c>
      <c r="F33" s="36">
        <f t="shared" si="4"/>
        <v>15.051499783199061</v>
      </c>
      <c r="G33" s="36">
        <f t="shared" si="4"/>
        <v>15.051499783199061</v>
      </c>
      <c r="H33" s="36">
        <f t="shared" si="4"/>
        <v>15.051499783199061</v>
      </c>
      <c r="I33" s="36">
        <f t="shared" si="4"/>
        <v>15.051499783199061</v>
      </c>
    </row>
    <row r="34" spans="1:9" ht="30">
      <c r="A34" s="51" t="s">
        <v>21</v>
      </c>
      <c r="B34" s="30">
        <v>1</v>
      </c>
      <c r="C34" s="52">
        <v>1</v>
      </c>
      <c r="D34" s="30">
        <v>1</v>
      </c>
      <c r="E34" s="52">
        <v>1</v>
      </c>
      <c r="F34" s="31">
        <v>3</v>
      </c>
      <c r="G34" s="52">
        <v>3</v>
      </c>
      <c r="H34" s="31">
        <v>3</v>
      </c>
      <c r="I34" s="52">
        <v>3</v>
      </c>
    </row>
    <row r="35" spans="1:9" ht="15">
      <c r="A35" s="51" t="s">
        <v>22</v>
      </c>
      <c r="B35" s="31">
        <v>7</v>
      </c>
      <c r="C35" s="31">
        <v>7</v>
      </c>
      <c r="D35" s="31">
        <v>7</v>
      </c>
      <c r="E35" s="31">
        <v>7</v>
      </c>
      <c r="F35" s="31">
        <v>5</v>
      </c>
      <c r="G35" s="31">
        <v>5</v>
      </c>
      <c r="H35" s="31">
        <v>5</v>
      </c>
      <c r="I35" s="31">
        <v>5</v>
      </c>
    </row>
    <row r="36" spans="1:9" ht="15">
      <c r="A36" s="51" t="s">
        <v>23</v>
      </c>
      <c r="B36" s="31">
        <v>-174</v>
      </c>
      <c r="C36" s="31">
        <v>-174</v>
      </c>
      <c r="D36" s="31">
        <v>-174</v>
      </c>
      <c r="E36" s="31">
        <v>-174</v>
      </c>
      <c r="F36" s="30">
        <v>-174</v>
      </c>
      <c r="G36" s="31">
        <v>-174</v>
      </c>
      <c r="H36" s="30">
        <v>-174</v>
      </c>
      <c r="I36" s="31">
        <v>-174</v>
      </c>
    </row>
    <row r="37" spans="1:9" ht="15">
      <c r="A37" s="51" t="s">
        <v>204</v>
      </c>
      <c r="B37" s="30" t="s">
        <v>51</v>
      </c>
      <c r="C37" s="31">
        <v>-169.3</v>
      </c>
      <c r="D37" s="30" t="s">
        <v>51</v>
      </c>
      <c r="E37" s="31">
        <v>-169.3</v>
      </c>
      <c r="F37" s="31" t="s">
        <v>52</v>
      </c>
      <c r="G37" s="31">
        <v>-161.69999999999999</v>
      </c>
      <c r="H37" s="31" t="s">
        <v>52</v>
      </c>
      <c r="I37" s="31">
        <v>-161.69999999999999</v>
      </c>
    </row>
    <row r="38" spans="1:9" ht="15">
      <c r="A38" s="51" t="s">
        <v>24</v>
      </c>
      <c r="B38" s="30">
        <v>-169.3</v>
      </c>
      <c r="C38" s="31" t="s">
        <v>51</v>
      </c>
      <c r="D38" s="30">
        <v>-169.3</v>
      </c>
      <c r="E38" s="31" t="s">
        <v>51</v>
      </c>
      <c r="F38" s="31">
        <v>-165.7</v>
      </c>
      <c r="G38" s="31" t="s">
        <v>52</v>
      </c>
      <c r="H38" s="31">
        <v>-165.7</v>
      </c>
      <c r="I38" s="31" t="s">
        <v>52</v>
      </c>
    </row>
    <row r="39" spans="1:9" ht="30">
      <c r="A39" s="57" t="s">
        <v>205</v>
      </c>
      <c r="B39" s="35" t="s">
        <v>148</v>
      </c>
      <c r="C39" s="35">
        <f t="shared" ref="C39:I39" si="5">10*LOG10(10^((C35+C36)/10)+10^(C37/10))</f>
        <v>-164.98918835931039</v>
      </c>
      <c r="D39" s="35" t="s">
        <v>148</v>
      </c>
      <c r="E39" s="35">
        <f t="shared" si="5"/>
        <v>-164.98918835931039</v>
      </c>
      <c r="F39" s="35" t="s">
        <v>148</v>
      </c>
      <c r="G39" s="35">
        <f t="shared" si="5"/>
        <v>-160.9583889004532</v>
      </c>
      <c r="H39" s="35" t="s">
        <v>148</v>
      </c>
      <c r="I39" s="35">
        <f t="shared" si="5"/>
        <v>-160.9583889004532</v>
      </c>
    </row>
    <row r="40" spans="1:9" ht="30">
      <c r="A40" s="57" t="s">
        <v>206</v>
      </c>
      <c r="B40" s="35">
        <f t="shared" ref="B40:H40" si="6">10*LOG10(10^((B35+B36)/10)+10^(B38/10))</f>
        <v>-164.98918835931039</v>
      </c>
      <c r="C40" s="35" t="s">
        <v>148</v>
      </c>
      <c r="D40" s="35">
        <f t="shared" si="6"/>
        <v>-164.98918835931039</v>
      </c>
      <c r="E40" s="35" t="s">
        <v>148</v>
      </c>
      <c r="F40" s="35">
        <f t="shared" si="6"/>
        <v>-164.03352307536667</v>
      </c>
      <c r="G40" s="35" t="s">
        <v>148</v>
      </c>
      <c r="H40" s="35">
        <f t="shared" si="6"/>
        <v>-164.03352307536667</v>
      </c>
      <c r="I40" s="35" t="s">
        <v>148</v>
      </c>
    </row>
    <row r="41" spans="1:9" ht="30">
      <c r="A41" s="51" t="s">
        <v>25</v>
      </c>
      <c r="B41" s="30" t="s">
        <v>51</v>
      </c>
      <c r="C41" s="30">
        <f>MaxN_RB!$D$6*12*15*1000</f>
        <v>9360000</v>
      </c>
      <c r="D41" s="30" t="s">
        <v>51</v>
      </c>
      <c r="E41" s="30">
        <f>MaxN_RB!$D$6*12*15*1000</f>
        <v>9360000</v>
      </c>
      <c r="F41" s="52" t="s">
        <v>87</v>
      </c>
      <c r="G41" s="31">
        <f>1*12*15*1000</f>
        <v>180000</v>
      </c>
      <c r="H41" s="52" t="s">
        <v>87</v>
      </c>
      <c r="I41" s="31">
        <f>1*12*15*1000</f>
        <v>180000</v>
      </c>
    </row>
    <row r="42" spans="1:9" ht="30">
      <c r="A42" s="51" t="s">
        <v>26</v>
      </c>
      <c r="B42" s="30">
        <f>MaxN_RB!$D$6*12*15*1000</f>
        <v>9360000</v>
      </c>
      <c r="C42" s="52" t="s">
        <v>86</v>
      </c>
      <c r="D42" s="30">
        <f>MaxN_RB!$D$6*12*15*1000</f>
        <v>9360000</v>
      </c>
      <c r="E42" s="52" t="s">
        <v>86</v>
      </c>
      <c r="F42" s="30">
        <f>4*12*15*1000</f>
        <v>720000</v>
      </c>
      <c r="G42" s="31" t="s">
        <v>52</v>
      </c>
      <c r="H42" s="30">
        <f>4*12*15*1000</f>
        <v>720000</v>
      </c>
      <c r="I42" s="31" t="s">
        <v>52</v>
      </c>
    </row>
    <row r="43" spans="1:9" ht="15">
      <c r="A43" s="55" t="s">
        <v>27</v>
      </c>
      <c r="B43" s="35" t="s">
        <v>148</v>
      </c>
      <c r="C43" s="35">
        <f t="shared" ref="C43:I43" si="7">C39+10*LOG10(C41)</f>
        <v>-95.276429871929338</v>
      </c>
      <c r="D43" s="35" t="s">
        <v>148</v>
      </c>
      <c r="E43" s="35">
        <f t="shared" si="7"/>
        <v>-95.276429871929338</v>
      </c>
      <c r="F43" s="35" t="s">
        <v>148</v>
      </c>
      <c r="G43" s="35">
        <f t="shared" si="7"/>
        <v>-108.40566384942014</v>
      </c>
      <c r="H43" s="35" t="s">
        <v>148</v>
      </c>
      <c r="I43" s="35">
        <f t="shared" si="7"/>
        <v>-108.40566384942014</v>
      </c>
    </row>
    <row r="44" spans="1:9" ht="15">
      <c r="A44" s="55" t="s">
        <v>28</v>
      </c>
      <c r="B44" s="35">
        <f t="shared" ref="B44:H44" si="8">B40+10*LOG10(B42)</f>
        <v>-95.276429871929338</v>
      </c>
      <c r="C44" s="35" t="s">
        <v>148</v>
      </c>
      <c r="D44" s="35">
        <f t="shared" si="8"/>
        <v>-95.276429871929338</v>
      </c>
      <c r="E44" s="35" t="s">
        <v>148</v>
      </c>
      <c r="F44" s="35">
        <f t="shared" si="8"/>
        <v>-105.46019811105398</v>
      </c>
      <c r="G44" s="35" t="s">
        <v>148</v>
      </c>
      <c r="H44" s="35">
        <f t="shared" si="8"/>
        <v>-105.46019811105398</v>
      </c>
      <c r="I44" s="35" t="s">
        <v>148</v>
      </c>
    </row>
    <row r="45" spans="1:9" ht="15">
      <c r="A45" s="51" t="s">
        <v>29</v>
      </c>
      <c r="B45" s="30" t="s">
        <v>50</v>
      </c>
      <c r="C45" s="31">
        <v>-7.4</v>
      </c>
      <c r="D45" s="30" t="s">
        <v>51</v>
      </c>
      <c r="E45" s="31">
        <v>-7.5</v>
      </c>
      <c r="F45" s="30" t="s">
        <v>50</v>
      </c>
      <c r="G45" s="67">
        <v>-6.3</v>
      </c>
      <c r="H45" s="68" t="s">
        <v>51</v>
      </c>
      <c r="I45" s="31">
        <v>-6.3</v>
      </c>
    </row>
    <row r="46" spans="1:9" ht="15">
      <c r="A46" s="51" t="s">
        <v>30</v>
      </c>
      <c r="B46" s="31">
        <v>4.0999999999999996</v>
      </c>
      <c r="C46" s="31" t="s">
        <v>50</v>
      </c>
      <c r="D46" s="31">
        <v>1.4</v>
      </c>
      <c r="E46" s="31" t="s">
        <v>50</v>
      </c>
      <c r="F46" s="31">
        <v>7.3</v>
      </c>
      <c r="G46" s="31" t="s">
        <v>50</v>
      </c>
      <c r="H46" s="31">
        <v>4.7</v>
      </c>
      <c r="I46" s="31" t="s">
        <v>50</v>
      </c>
    </row>
    <row r="47" spans="1:9" ht="15">
      <c r="A47" s="51" t="s">
        <v>31</v>
      </c>
      <c r="B47" s="30">
        <v>2</v>
      </c>
      <c r="C47" s="31">
        <v>2</v>
      </c>
      <c r="D47" s="30">
        <v>2</v>
      </c>
      <c r="E47" s="31">
        <v>2</v>
      </c>
      <c r="F47" s="52">
        <v>2</v>
      </c>
      <c r="G47" s="31">
        <v>2</v>
      </c>
      <c r="H47" s="52">
        <v>2</v>
      </c>
      <c r="I47" s="31">
        <v>2</v>
      </c>
    </row>
    <row r="48" spans="1:9" ht="15">
      <c r="A48" s="51" t="s">
        <v>32</v>
      </c>
      <c r="B48" s="30" t="s">
        <v>51</v>
      </c>
      <c r="C48" s="31">
        <v>0</v>
      </c>
      <c r="D48" s="30" t="s">
        <v>51</v>
      </c>
      <c r="E48" s="31">
        <v>0</v>
      </c>
      <c r="F48" s="52" t="s">
        <v>87</v>
      </c>
      <c r="G48" s="31">
        <v>0</v>
      </c>
      <c r="H48" s="52" t="s">
        <v>87</v>
      </c>
      <c r="I48" s="31">
        <v>0</v>
      </c>
    </row>
    <row r="49" spans="1:9" ht="15">
      <c r="A49" s="51" t="s">
        <v>33</v>
      </c>
      <c r="B49" s="30">
        <v>0.5</v>
      </c>
      <c r="C49" s="31" t="s">
        <v>51</v>
      </c>
      <c r="D49" s="30">
        <v>0.5</v>
      </c>
      <c r="E49" s="31" t="s">
        <v>51</v>
      </c>
      <c r="F49" s="52">
        <v>0.5</v>
      </c>
      <c r="G49" s="31" t="s">
        <v>52</v>
      </c>
      <c r="H49" s="52">
        <v>0.5</v>
      </c>
      <c r="I49" s="31" t="s">
        <v>52</v>
      </c>
    </row>
    <row r="50" spans="1:9" ht="15">
      <c r="A50" s="57" t="s">
        <v>44</v>
      </c>
      <c r="B50" s="35" t="s">
        <v>148</v>
      </c>
      <c r="C50" s="35">
        <f t="shared" ref="C50:I50" si="9">C43+C45+C47-C48</f>
        <v>-100.67642987192934</v>
      </c>
      <c r="D50" s="35" t="s">
        <v>148</v>
      </c>
      <c r="E50" s="35">
        <f t="shared" si="9"/>
        <v>-100.77642987192934</v>
      </c>
      <c r="F50" s="35" t="s">
        <v>148</v>
      </c>
      <c r="G50" s="35">
        <f t="shared" si="9"/>
        <v>-112.70566384942013</v>
      </c>
      <c r="H50" s="35" t="s">
        <v>148</v>
      </c>
      <c r="I50" s="35">
        <f t="shared" si="9"/>
        <v>-112.70566384942013</v>
      </c>
    </row>
    <row r="51" spans="1:9" ht="15">
      <c r="A51" s="57" t="s">
        <v>45</v>
      </c>
      <c r="B51" s="35">
        <f>B44+B46+B47-B49</f>
        <v>-89.676429871929344</v>
      </c>
      <c r="C51" s="35" t="s">
        <v>148</v>
      </c>
      <c r="D51" s="35">
        <f t="shared" ref="D51:H51" si="10">D44+D46+D47-D49</f>
        <v>-92.376429871929332</v>
      </c>
      <c r="E51" s="35" t="s">
        <v>148</v>
      </c>
      <c r="F51" s="35">
        <f t="shared" si="10"/>
        <v>-96.660198111053987</v>
      </c>
      <c r="G51" s="35" t="s">
        <v>148</v>
      </c>
      <c r="H51" s="35">
        <f t="shared" si="10"/>
        <v>-99.260198111053981</v>
      </c>
      <c r="I51" s="35" t="s">
        <v>148</v>
      </c>
    </row>
    <row r="52" spans="1:9" ht="15">
      <c r="A52" s="57" t="s">
        <v>89</v>
      </c>
      <c r="B52" s="35" t="s">
        <v>148</v>
      </c>
      <c r="C52" s="35">
        <f t="shared" ref="C52:I52" si="11">C27+C32+C33-C50</f>
        <v>166.78972939496728</v>
      </c>
      <c r="D52" s="35" t="s">
        <v>148</v>
      </c>
      <c r="E52" s="35">
        <f t="shared" si="11"/>
        <v>166.88972939496728</v>
      </c>
      <c r="F52" s="35" t="s">
        <v>148</v>
      </c>
      <c r="G52" s="35">
        <f t="shared" si="11"/>
        <v>157.75716363261921</v>
      </c>
      <c r="H52" s="35" t="s">
        <v>148</v>
      </c>
      <c r="I52" s="35">
        <f t="shared" si="11"/>
        <v>157.75716363261921</v>
      </c>
    </row>
    <row r="53" spans="1:9" ht="15">
      <c r="A53" s="57" t="s">
        <v>90</v>
      </c>
      <c r="B53" s="35">
        <f t="shared" ref="B53:H53" si="12">B28+B32+B33-B51</f>
        <v>155.78972939496728</v>
      </c>
      <c r="C53" s="35" t="s">
        <v>148</v>
      </c>
      <c r="D53" s="35">
        <f t="shared" si="12"/>
        <v>158.48972939496727</v>
      </c>
      <c r="E53" s="35" t="s">
        <v>148</v>
      </c>
      <c r="F53" s="35">
        <f t="shared" si="12"/>
        <v>141.71169789425306</v>
      </c>
      <c r="G53" s="35" t="s">
        <v>148</v>
      </c>
      <c r="H53" s="35">
        <f t="shared" si="12"/>
        <v>144.31169789425303</v>
      </c>
      <c r="I53" s="35" t="s">
        <v>148</v>
      </c>
    </row>
    <row r="54" spans="1:9">
      <c r="A54" s="33" t="s">
        <v>34</v>
      </c>
      <c r="B54" s="50"/>
      <c r="C54" s="50"/>
      <c r="D54" s="50"/>
      <c r="E54" s="50"/>
      <c r="F54" s="50"/>
      <c r="G54" s="50"/>
      <c r="H54" s="50"/>
      <c r="I54" s="50"/>
    </row>
    <row r="55" spans="1:9" ht="15">
      <c r="A55" s="51" t="s">
        <v>35</v>
      </c>
      <c r="B55" s="52">
        <v>8</v>
      </c>
      <c r="C55" s="52">
        <v>8</v>
      </c>
      <c r="D55" s="52">
        <v>8</v>
      </c>
      <c r="E55" s="52">
        <v>8</v>
      </c>
      <c r="F55" s="52">
        <v>8</v>
      </c>
      <c r="G55" s="52">
        <v>8</v>
      </c>
      <c r="H55" s="52">
        <v>8</v>
      </c>
      <c r="I55" s="52">
        <v>8</v>
      </c>
    </row>
    <row r="56" spans="1:9" ht="30">
      <c r="A56" s="51" t="s">
        <v>36</v>
      </c>
      <c r="B56" s="38" t="s">
        <v>103</v>
      </c>
      <c r="C56" s="52">
        <v>10.45</v>
      </c>
      <c r="D56" s="52" t="s">
        <v>83</v>
      </c>
      <c r="E56" s="52">
        <v>8.4499999999999993</v>
      </c>
      <c r="F56" s="38" t="s">
        <v>103</v>
      </c>
      <c r="G56" s="52">
        <v>10.45</v>
      </c>
      <c r="H56" s="52" t="s">
        <v>83</v>
      </c>
      <c r="I56" s="52">
        <v>8.4499999999999993</v>
      </c>
    </row>
    <row r="57" spans="1:9" ht="30">
      <c r="A57" s="51" t="s">
        <v>37</v>
      </c>
      <c r="B57" s="52">
        <v>6.61</v>
      </c>
      <c r="C57" s="38" t="s">
        <v>103</v>
      </c>
      <c r="D57" s="52">
        <v>5.13</v>
      </c>
      <c r="E57" s="38" t="s">
        <v>83</v>
      </c>
      <c r="F57" s="52">
        <v>6.61</v>
      </c>
      <c r="G57" s="38" t="s">
        <v>103</v>
      </c>
      <c r="H57" s="52">
        <v>5.13</v>
      </c>
      <c r="I57" s="37" t="s">
        <v>83</v>
      </c>
    </row>
    <row r="58" spans="1:9" ht="15">
      <c r="A58" s="51" t="s">
        <v>38</v>
      </c>
      <c r="B58" s="52">
        <v>0</v>
      </c>
      <c r="C58" s="52">
        <v>0</v>
      </c>
      <c r="D58" s="52">
        <v>0</v>
      </c>
      <c r="E58" s="52">
        <v>0</v>
      </c>
      <c r="F58" s="52">
        <v>0</v>
      </c>
      <c r="G58" s="52">
        <v>0</v>
      </c>
      <c r="H58" s="52">
        <v>0</v>
      </c>
      <c r="I58" s="52">
        <v>0</v>
      </c>
    </row>
    <row r="59" spans="1:9" ht="15">
      <c r="A59" s="51" t="s">
        <v>39</v>
      </c>
      <c r="B59" s="32">
        <v>9</v>
      </c>
      <c r="C59" s="32">
        <v>9</v>
      </c>
      <c r="D59" s="32">
        <f>10+0.5*5</f>
        <v>12.5</v>
      </c>
      <c r="E59" s="32">
        <f>10+0.5*5</f>
        <v>12.5</v>
      </c>
      <c r="F59" s="32">
        <v>9</v>
      </c>
      <c r="G59" s="32">
        <v>9</v>
      </c>
      <c r="H59" s="32">
        <f>10+0.5*5</f>
        <v>12.5</v>
      </c>
      <c r="I59" s="32">
        <f>10+0.5*5</f>
        <v>12.5</v>
      </c>
    </row>
    <row r="60" spans="1:9" ht="15">
      <c r="A60" s="51" t="s">
        <v>40</v>
      </c>
      <c r="B60" s="52">
        <v>0</v>
      </c>
      <c r="C60" s="52">
        <v>0</v>
      </c>
      <c r="D60" s="52">
        <v>0</v>
      </c>
      <c r="E60" s="52">
        <v>0</v>
      </c>
      <c r="F60" s="52">
        <v>0</v>
      </c>
      <c r="G60" s="52">
        <v>0</v>
      </c>
      <c r="H60" s="52">
        <v>0</v>
      </c>
      <c r="I60" s="52">
        <v>0</v>
      </c>
    </row>
    <row r="61" spans="1:9" ht="30">
      <c r="A61" s="57" t="s">
        <v>49</v>
      </c>
      <c r="B61" s="35" t="s">
        <v>148</v>
      </c>
      <c r="C61" s="35">
        <f t="shared" ref="C61:I61" si="13">C52-C56+C58-C59+C60-C34</f>
        <v>146.33972939496729</v>
      </c>
      <c r="D61" s="35" t="s">
        <v>148</v>
      </c>
      <c r="E61" s="35">
        <f t="shared" si="13"/>
        <v>144.93972939496729</v>
      </c>
      <c r="F61" s="35" t="s">
        <v>148</v>
      </c>
      <c r="G61" s="35">
        <f t="shared" si="13"/>
        <v>135.30716363261922</v>
      </c>
      <c r="H61" s="35" t="s">
        <v>148</v>
      </c>
      <c r="I61" s="35">
        <f t="shared" si="13"/>
        <v>133.80716363261922</v>
      </c>
    </row>
    <row r="62" spans="1:9" ht="30">
      <c r="A62" s="57" t="s">
        <v>46</v>
      </c>
      <c r="B62" s="35">
        <f t="shared" ref="B62:H62" si="14">B53-B57+B58-B59+B60-B34</f>
        <v>139.17972939496727</v>
      </c>
      <c r="C62" s="35" t="s">
        <v>148</v>
      </c>
      <c r="D62" s="35">
        <f t="shared" si="14"/>
        <v>139.85972939496727</v>
      </c>
      <c r="E62" s="35" t="s">
        <v>148</v>
      </c>
      <c r="F62" s="35">
        <f t="shared" si="14"/>
        <v>123.10169789425305</v>
      </c>
      <c r="G62" s="35" t="s">
        <v>148</v>
      </c>
      <c r="H62" s="35">
        <f t="shared" si="14"/>
        <v>123.68169789425303</v>
      </c>
      <c r="I62" s="35" t="s">
        <v>148</v>
      </c>
    </row>
    <row r="63" spans="1:9">
      <c r="A63" s="33" t="s">
        <v>41</v>
      </c>
      <c r="B63" s="50"/>
      <c r="C63" s="50"/>
      <c r="D63" s="50"/>
      <c r="E63" s="50"/>
      <c r="F63" s="50"/>
      <c r="G63" s="50"/>
      <c r="H63" s="50"/>
      <c r="I63" s="50"/>
    </row>
    <row r="64" spans="1:9" ht="30">
      <c r="A64" s="58" t="s">
        <v>101</v>
      </c>
      <c r="B64" s="31" t="s">
        <v>88</v>
      </c>
      <c r="C64" s="52">
        <f>10^((C61-161.04+7.1*LOG10(20)-7.5*LOG10(5)+(24.37-3.7*(5/C$5)^2)*LOG10(C$5)-20*LOG10(C$4)+(3.2*(LOG10(11.75*C$6)^2)-4.97))/(43.42-3.1*LOG10(C$5))+3)</f>
        <v>5943.6263858901375</v>
      </c>
      <c r="D64" s="31" t="s">
        <v>88</v>
      </c>
      <c r="E64" s="52">
        <f>10^((E61-161.04+7.1*LOG10(20)-7.5*LOG10(5)+(24.37-3.7*(5/E$5)^2)*LOG10(E$5)-20*LOG10(E$4)+(3.2*(LOG10(11.75*E$6)^2)-4.97))/(43.42-3.1*LOG10(E$5))+3)</f>
        <v>5467.8100382751709</v>
      </c>
      <c r="F64" s="31" t="s">
        <v>50</v>
      </c>
      <c r="G64" s="52">
        <f>10^((G61-161.04+7.1*LOG10(20)-7.5*LOG10(5)+(24.37-3.7*(5/G$5)^2)*LOG10(G$5)-20*LOG10(G$4)+(3.2*(LOG10(11.75*G$6)^2)-4.97))/(43.42-3.1*LOG10(G$5))+3)</f>
        <v>3079.5038779071147</v>
      </c>
      <c r="H64" s="31" t="s">
        <v>50</v>
      </c>
      <c r="I64" s="52">
        <f>10^((I61-161.04+7.1*LOG10(20)-7.5*LOG10(5)+(24.37-3.7*(5/I$5)^2)*LOG10(I$5)-20*LOG10(I$4)+(3.2*(LOG10(11.75*I$6)^2)-4.97))/(43.42-3.1*LOG10(I$5))+3)</f>
        <v>2816.1399702627855</v>
      </c>
    </row>
    <row r="65" spans="1:9" ht="30">
      <c r="A65" s="58" t="s">
        <v>102</v>
      </c>
      <c r="B65" s="52">
        <f>10^((B62-161.04+7.1*LOG10(20)-7.5*LOG10(5)+(24.37-3.7*(5/B$5)^2)*LOG10(B$5)-20*LOG10(B$4)+(3.2*(LOG10(11.75*B$6)^2)-4.97))/(43.42-3.1*LOG10(B$5))+3)</f>
        <v>3878.9982748477769</v>
      </c>
      <c r="C65" s="31" t="s">
        <v>88</v>
      </c>
      <c r="D65" s="52">
        <f>10^((D62-161.04+7.1*LOG10(20)-7.5*LOG10(5)+(24.37-3.7*(5/D$5)^2)*LOG10(D$5)-20*LOG10(D$4)+(3.2*(LOG10(11.75*D$6)^2)-4.97))/(43.42-3.1*LOG10(D$5))+3)</f>
        <v>4039.4379524310507</v>
      </c>
      <c r="E65" s="31" t="s">
        <v>88</v>
      </c>
      <c r="F65" s="52">
        <f>10^((F62-161.04+7.1*LOG10(20)-7.5*LOG10(5)+(24.37-3.7*(5/F$5)^2)*LOG10(F$5)-20*LOG10(F$4)+(3.2*(LOG10(11.75*F$6)^2)-4.97))/(43.42-3.1*LOG10(F$5))+3)</f>
        <v>1487.8195467394987</v>
      </c>
      <c r="G65" s="31" t="s">
        <v>50</v>
      </c>
      <c r="H65" s="52">
        <f>10^((H62-161.04+7.1*LOG10(20)-7.5*LOG10(5)+(24.37-3.7*(5/H$5)^2)*LOG10(H$5)-20*LOG10(H$4)+(3.2*(LOG10(11.75*H$6)^2)-4.97))/(43.42-3.1*LOG10(H$5))+3)</f>
        <v>1540.1505690105355</v>
      </c>
      <c r="I65" s="31" t="s">
        <v>50</v>
      </c>
    </row>
    <row r="66" spans="1:9" ht="18">
      <c r="A66" s="58" t="s">
        <v>94</v>
      </c>
      <c r="B66" s="31" t="s">
        <v>51</v>
      </c>
      <c r="C66" s="31">
        <f>PI()*(C64)^2</f>
        <v>110982084.27824949</v>
      </c>
      <c r="D66" s="31" t="s">
        <v>51</v>
      </c>
      <c r="E66" s="31">
        <f>PI()*(E64)^2</f>
        <v>93924027.849390656</v>
      </c>
      <c r="F66" s="31" t="s">
        <v>51</v>
      </c>
      <c r="G66" s="31">
        <f>PI()*(G64)^2</f>
        <v>29792804.262979493</v>
      </c>
      <c r="H66" s="31" t="s">
        <v>51</v>
      </c>
      <c r="I66" s="31">
        <f>PI()*(I64)^2</f>
        <v>24914853.971995592</v>
      </c>
    </row>
    <row r="67" spans="1:9" ht="18">
      <c r="A67" s="58" t="s">
        <v>95</v>
      </c>
      <c r="B67" s="31">
        <f>PI()*(B65)^2</f>
        <v>47270374.780581504</v>
      </c>
      <c r="C67" s="31" t="s">
        <v>51</v>
      </c>
      <c r="D67" s="31">
        <f>PI()*(D65)^2</f>
        <v>51261552.593182616</v>
      </c>
      <c r="E67" s="31" t="s">
        <v>51</v>
      </c>
      <c r="F67" s="31">
        <f>PI()*(F65)^2</f>
        <v>6954251.5006335713</v>
      </c>
      <c r="G67" s="31" t="s">
        <v>51</v>
      </c>
      <c r="H67" s="31">
        <f>PI()*(H65)^2</f>
        <v>7452058.1300885435</v>
      </c>
      <c r="I67" s="31" t="s">
        <v>51</v>
      </c>
    </row>
    <row r="69" spans="1:9">
      <c r="A69" s="59"/>
    </row>
    <row r="72" spans="1:9" ht="15">
      <c r="A72" s="45"/>
      <c r="B72" s="44"/>
      <c r="C72" s="44"/>
      <c r="D72" s="44"/>
      <c r="E72" s="44"/>
    </row>
    <row r="73" spans="1:9" ht="15">
      <c r="A73" s="45"/>
      <c r="B73" s="44"/>
      <c r="C73" s="44"/>
      <c r="D73" s="44"/>
      <c r="E73" s="44"/>
    </row>
    <row r="76" spans="1:9">
      <c r="F76" s="38"/>
    </row>
  </sheetData>
  <mergeCells count="2">
    <mergeCell ref="B1:E1"/>
    <mergeCell ref="F1:I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70" zoomScaleNormal="70" workbookViewId="0">
      <pane xSplit="1" ySplit="2" topLeftCell="K3" activePane="bottomRight" state="frozen"/>
      <selection pane="topRight" activeCell="B1" sqref="B1"/>
      <selection pane="bottomLeft" activeCell="A3" sqref="A3"/>
      <selection pane="bottomRight" activeCell="P68" sqref="P68"/>
    </sheetView>
  </sheetViews>
  <sheetFormatPr defaultColWidth="8.875" defaultRowHeight="14.25"/>
  <cols>
    <col min="1" max="1" width="109" style="42" bestFit="1" customWidth="1"/>
    <col min="2" max="3" width="13.125" style="38" bestFit="1" customWidth="1"/>
    <col min="4" max="4" width="13.375" style="38" bestFit="1" customWidth="1"/>
    <col min="5" max="5" width="13.625" style="38" bestFit="1" customWidth="1"/>
    <col min="6" max="7" width="12.125" style="42" bestFit="1" customWidth="1"/>
    <col min="8" max="8" width="13.375" style="42" bestFit="1" customWidth="1"/>
    <col min="9" max="9" width="13.625" style="42" customWidth="1"/>
    <col min="10" max="13" width="13.125" bestFit="1" customWidth="1"/>
    <col min="14" max="14" width="12.125" bestFit="1" customWidth="1"/>
    <col min="15" max="15" width="13.125" bestFit="1" customWidth="1"/>
    <col min="16" max="16" width="12.125" bestFit="1" customWidth="1"/>
    <col min="17" max="17" width="13.125" bestFit="1" customWidth="1"/>
  </cols>
  <sheetData>
    <row r="1" spans="1:17">
      <c r="A1" s="48" t="s">
        <v>0</v>
      </c>
      <c r="B1" s="139" t="s">
        <v>47</v>
      </c>
      <c r="C1" s="139"/>
      <c r="D1" s="139"/>
      <c r="E1" s="139"/>
      <c r="F1" s="139" t="s">
        <v>48</v>
      </c>
      <c r="G1" s="139"/>
      <c r="H1" s="139"/>
      <c r="I1" s="139"/>
      <c r="J1" s="139" t="s">
        <v>47</v>
      </c>
      <c r="K1" s="139"/>
      <c r="L1" s="139"/>
      <c r="M1" s="139"/>
      <c r="N1" s="139" t="s">
        <v>48</v>
      </c>
      <c r="O1" s="139"/>
      <c r="P1" s="139"/>
      <c r="Q1" s="139"/>
    </row>
    <row r="2" spans="1:17" ht="28.5">
      <c r="A2" s="49"/>
      <c r="B2" s="134" t="s">
        <v>232</v>
      </c>
      <c r="C2" s="134" t="s">
        <v>233</v>
      </c>
      <c r="D2" s="134" t="s">
        <v>234</v>
      </c>
      <c r="E2" s="134" t="s">
        <v>235</v>
      </c>
      <c r="F2" s="134" t="s">
        <v>236</v>
      </c>
      <c r="G2" s="134" t="s">
        <v>229</v>
      </c>
      <c r="H2" s="134" t="s">
        <v>237</v>
      </c>
      <c r="I2" s="134" t="s">
        <v>231</v>
      </c>
      <c r="J2" s="82" t="s">
        <v>238</v>
      </c>
      <c r="K2" s="82" t="s">
        <v>239</v>
      </c>
      <c r="L2" s="82" t="s">
        <v>240</v>
      </c>
      <c r="M2" s="82" t="s">
        <v>241</v>
      </c>
      <c r="N2" s="82" t="s">
        <v>242</v>
      </c>
      <c r="O2" s="82" t="s">
        <v>243</v>
      </c>
      <c r="P2" s="82" t="s">
        <v>244</v>
      </c>
      <c r="Q2" s="82" t="s">
        <v>245</v>
      </c>
    </row>
    <row r="3" spans="1:17">
      <c r="A3" s="33" t="s">
        <v>1</v>
      </c>
      <c r="B3" s="50"/>
      <c r="C3" s="50"/>
      <c r="D3" s="50"/>
      <c r="E3" s="50"/>
      <c r="F3" s="50"/>
      <c r="G3" s="50"/>
      <c r="H3" s="50"/>
      <c r="I3" s="50"/>
      <c r="J3" s="50"/>
      <c r="K3" s="50"/>
      <c r="L3" s="50"/>
      <c r="M3" s="50"/>
      <c r="N3" s="50"/>
      <c r="O3" s="50"/>
      <c r="P3" s="50"/>
      <c r="Q3" s="50"/>
    </row>
    <row r="4" spans="1:17" ht="15">
      <c r="A4" s="51" t="s">
        <v>2</v>
      </c>
      <c r="B4" s="32">
        <v>0.7</v>
      </c>
      <c r="C4" s="52">
        <v>0.7</v>
      </c>
      <c r="D4" s="32">
        <v>0.7</v>
      </c>
      <c r="E4" s="52">
        <v>0.7</v>
      </c>
      <c r="F4" s="32">
        <v>0.7</v>
      </c>
      <c r="G4" s="52">
        <v>0.7</v>
      </c>
      <c r="H4" s="32">
        <v>0.7</v>
      </c>
      <c r="I4" s="52">
        <v>0.7</v>
      </c>
      <c r="J4" s="32">
        <v>0.7</v>
      </c>
      <c r="K4" s="52">
        <v>0.7</v>
      </c>
      <c r="L4" s="32">
        <v>0.7</v>
      </c>
      <c r="M4" s="52">
        <v>0.7</v>
      </c>
      <c r="N4" s="32">
        <v>0.7</v>
      </c>
      <c r="O4" s="52">
        <v>0.7</v>
      </c>
      <c r="P4" s="32">
        <v>0.7</v>
      </c>
      <c r="Q4" s="52">
        <v>0.7</v>
      </c>
    </row>
    <row r="5" spans="1:17" ht="15">
      <c r="A5" s="51" t="s">
        <v>3</v>
      </c>
      <c r="B5" s="52">
        <v>35</v>
      </c>
      <c r="C5" s="52">
        <v>35</v>
      </c>
      <c r="D5" s="52">
        <v>35</v>
      </c>
      <c r="E5" s="52">
        <v>35</v>
      </c>
      <c r="F5" s="52">
        <v>35</v>
      </c>
      <c r="G5" s="52">
        <v>35</v>
      </c>
      <c r="H5" s="52">
        <v>35</v>
      </c>
      <c r="I5" s="52">
        <v>35</v>
      </c>
      <c r="J5" s="52">
        <v>35</v>
      </c>
      <c r="K5" s="52">
        <v>35</v>
      </c>
      <c r="L5" s="52">
        <v>35</v>
      </c>
      <c r="M5" s="52">
        <v>35</v>
      </c>
      <c r="N5" s="52">
        <v>35</v>
      </c>
      <c r="O5" s="52">
        <v>35</v>
      </c>
      <c r="P5" s="52">
        <v>35</v>
      </c>
      <c r="Q5" s="52">
        <v>35</v>
      </c>
    </row>
    <row r="6" spans="1:17" ht="15">
      <c r="A6" s="51" t="s">
        <v>4</v>
      </c>
      <c r="B6" s="32">
        <v>1.5</v>
      </c>
      <c r="C6" s="52">
        <v>1.5</v>
      </c>
      <c r="D6" s="32">
        <v>1.5</v>
      </c>
      <c r="E6" s="52">
        <v>1.5</v>
      </c>
      <c r="F6" s="32">
        <v>1.5</v>
      </c>
      <c r="G6" s="52">
        <v>1.5</v>
      </c>
      <c r="H6" s="32">
        <v>1.5</v>
      </c>
      <c r="I6" s="52">
        <v>1.5</v>
      </c>
      <c r="J6" s="32">
        <v>1.5</v>
      </c>
      <c r="K6" s="52">
        <v>1.5</v>
      </c>
      <c r="L6" s="32">
        <v>1.5</v>
      </c>
      <c r="M6" s="52">
        <v>1.5</v>
      </c>
      <c r="N6" s="32">
        <v>1.5</v>
      </c>
      <c r="O6" s="52">
        <v>1.5</v>
      </c>
      <c r="P6" s="32">
        <v>1.5</v>
      </c>
      <c r="Q6" s="52">
        <v>1.5</v>
      </c>
    </row>
    <row r="7" spans="1:17" ht="15">
      <c r="A7" s="51" t="s">
        <v>202</v>
      </c>
      <c r="B7" s="17" t="s">
        <v>50</v>
      </c>
      <c r="C7" s="46">
        <v>0.95</v>
      </c>
      <c r="D7" s="17" t="s">
        <v>50</v>
      </c>
      <c r="E7" s="46">
        <v>0.95</v>
      </c>
      <c r="F7" s="46" t="s">
        <v>50</v>
      </c>
      <c r="G7" s="18">
        <v>0.95</v>
      </c>
      <c r="H7" s="46" t="s">
        <v>50</v>
      </c>
      <c r="I7" s="18">
        <v>0.95</v>
      </c>
      <c r="J7" s="17" t="s">
        <v>50</v>
      </c>
      <c r="K7" s="46">
        <v>0.95</v>
      </c>
      <c r="L7" s="17" t="s">
        <v>50</v>
      </c>
      <c r="M7" s="46">
        <v>0.95</v>
      </c>
      <c r="N7" s="46" t="s">
        <v>50</v>
      </c>
      <c r="O7" s="18">
        <v>0.95</v>
      </c>
      <c r="P7" s="46" t="s">
        <v>50</v>
      </c>
      <c r="Q7" s="18">
        <v>0.95</v>
      </c>
    </row>
    <row r="8" spans="1:17" ht="15">
      <c r="A8" s="51" t="s">
        <v>203</v>
      </c>
      <c r="B8" s="17">
        <v>0.9</v>
      </c>
      <c r="C8" s="46" t="s">
        <v>50</v>
      </c>
      <c r="D8" s="17">
        <v>0.9</v>
      </c>
      <c r="E8" s="46" t="s">
        <v>50</v>
      </c>
      <c r="F8" s="46">
        <v>0.9</v>
      </c>
      <c r="G8" s="18" t="s">
        <v>50</v>
      </c>
      <c r="H8" s="46">
        <v>0.9</v>
      </c>
      <c r="I8" s="18" t="s">
        <v>50</v>
      </c>
      <c r="J8" s="17">
        <v>0.9</v>
      </c>
      <c r="K8" s="46" t="s">
        <v>50</v>
      </c>
      <c r="L8" s="17">
        <v>0.9</v>
      </c>
      <c r="M8" s="46" t="s">
        <v>50</v>
      </c>
      <c r="N8" s="46">
        <v>0.9</v>
      </c>
      <c r="O8" s="18" t="s">
        <v>50</v>
      </c>
      <c r="P8" s="46">
        <v>0.9</v>
      </c>
      <c r="Q8" s="18" t="s">
        <v>50</v>
      </c>
    </row>
    <row r="9" spans="1:17" ht="15">
      <c r="A9" s="51" t="s">
        <v>5</v>
      </c>
      <c r="B9" s="30" t="s">
        <v>50</v>
      </c>
      <c r="C9" s="31">
        <f>64/(0.001)</f>
        <v>64000</v>
      </c>
      <c r="D9" s="30" t="s">
        <v>50</v>
      </c>
      <c r="E9" s="31">
        <f>64/(0.001)</f>
        <v>64000</v>
      </c>
      <c r="F9" s="52" t="s">
        <v>50</v>
      </c>
      <c r="G9" s="31">
        <f>2/(0.5*0.001)</f>
        <v>4000</v>
      </c>
      <c r="H9" s="52" t="s">
        <v>50</v>
      </c>
      <c r="I9" s="31">
        <f>2/(0.5*0.001)</f>
        <v>4000</v>
      </c>
      <c r="J9" s="30" t="s">
        <v>50</v>
      </c>
      <c r="K9" s="31">
        <f>64/(0.001)</f>
        <v>64000</v>
      </c>
      <c r="L9" s="30" t="s">
        <v>50</v>
      </c>
      <c r="M9" s="31">
        <f>64/(0.001)</f>
        <v>64000</v>
      </c>
      <c r="N9" s="52" t="s">
        <v>50</v>
      </c>
      <c r="O9" s="31">
        <f>2/(0.5*0.001)</f>
        <v>4000</v>
      </c>
      <c r="P9" s="52" t="s">
        <v>50</v>
      </c>
      <c r="Q9" s="31">
        <f>2/(0.5*0.001)</f>
        <v>4000</v>
      </c>
    </row>
    <row r="10" spans="1:17" ht="15">
      <c r="A10" s="51" t="s">
        <v>6</v>
      </c>
      <c r="B10" s="30">
        <f>2248233*3</f>
        <v>6744699</v>
      </c>
      <c r="C10" s="52" t="s">
        <v>50</v>
      </c>
      <c r="D10" s="30">
        <f>2248233*3</f>
        <v>6744699</v>
      </c>
      <c r="E10" s="52" t="s">
        <v>50</v>
      </c>
      <c r="F10" s="52">
        <f>74880*3</f>
        <v>224640</v>
      </c>
      <c r="G10" s="31" t="s">
        <v>50</v>
      </c>
      <c r="H10" s="52">
        <f>74880*3</f>
        <v>224640</v>
      </c>
      <c r="I10" s="31" t="s">
        <v>50</v>
      </c>
      <c r="J10" s="30">
        <f>2248233*3</f>
        <v>6744699</v>
      </c>
      <c r="K10" s="52" t="s">
        <v>50</v>
      </c>
      <c r="L10" s="30">
        <f>2248233*3</f>
        <v>6744699</v>
      </c>
      <c r="M10" s="52" t="s">
        <v>50</v>
      </c>
      <c r="N10" s="52">
        <f>74880*3</f>
        <v>224640</v>
      </c>
      <c r="O10" s="31" t="s">
        <v>50</v>
      </c>
      <c r="P10" s="52">
        <f>74880*3</f>
        <v>224640</v>
      </c>
      <c r="Q10" s="31" t="s">
        <v>50</v>
      </c>
    </row>
    <row r="11" spans="1:17" ht="15">
      <c r="A11" s="51" t="s">
        <v>7</v>
      </c>
      <c r="B11" s="17" t="s">
        <v>50</v>
      </c>
      <c r="C11" s="46">
        <v>0.01</v>
      </c>
      <c r="D11" s="17" t="s">
        <v>50</v>
      </c>
      <c r="E11" s="46">
        <v>0.01</v>
      </c>
      <c r="F11" s="46" t="s">
        <v>50</v>
      </c>
      <c r="G11" s="18">
        <v>0.01</v>
      </c>
      <c r="H11" s="46" t="s">
        <v>50</v>
      </c>
      <c r="I11" s="18">
        <v>0.01</v>
      </c>
      <c r="J11" s="17" t="s">
        <v>50</v>
      </c>
      <c r="K11" s="46">
        <v>0.01</v>
      </c>
      <c r="L11" s="17" t="s">
        <v>50</v>
      </c>
      <c r="M11" s="46">
        <v>0.01</v>
      </c>
      <c r="N11" s="46" t="s">
        <v>50</v>
      </c>
      <c r="O11" s="18">
        <v>0.01</v>
      </c>
      <c r="P11" s="46" t="s">
        <v>50</v>
      </c>
      <c r="Q11" s="18">
        <v>0.01</v>
      </c>
    </row>
    <row r="12" spans="1:17" ht="15">
      <c r="A12" s="51" t="s">
        <v>8</v>
      </c>
      <c r="B12" s="17">
        <v>0.1</v>
      </c>
      <c r="C12" s="46" t="s">
        <v>50</v>
      </c>
      <c r="D12" s="17">
        <v>0.1</v>
      </c>
      <c r="E12" s="46" t="s">
        <v>50</v>
      </c>
      <c r="F12" s="46">
        <v>0.1</v>
      </c>
      <c r="G12" s="18" t="s">
        <v>50</v>
      </c>
      <c r="H12" s="46">
        <v>0.1</v>
      </c>
      <c r="I12" s="18" t="s">
        <v>50</v>
      </c>
      <c r="J12" s="17">
        <v>0.1</v>
      </c>
      <c r="K12" s="46" t="s">
        <v>50</v>
      </c>
      <c r="L12" s="17">
        <v>0.1</v>
      </c>
      <c r="M12" s="46" t="s">
        <v>50</v>
      </c>
      <c r="N12" s="46">
        <v>0.1</v>
      </c>
      <c r="O12" s="18" t="s">
        <v>50</v>
      </c>
      <c r="P12" s="46">
        <v>0.1</v>
      </c>
      <c r="Q12" s="18" t="s">
        <v>50</v>
      </c>
    </row>
    <row r="13" spans="1:17" ht="16.5">
      <c r="A13" s="51" t="s">
        <v>91</v>
      </c>
      <c r="B13" s="30">
        <f>B10/(B42*(4+2*11/14+1/14)/10)</f>
        <v>0.65101476793248958</v>
      </c>
      <c r="C13" s="52" t="s">
        <v>50</v>
      </c>
      <c r="D13" s="30">
        <f>D10/(D42*(4+2*11/14+1/14)/10)</f>
        <v>0.65101476793248958</v>
      </c>
      <c r="E13" s="52" t="s">
        <v>50</v>
      </c>
      <c r="F13" s="30">
        <f>F10/(F42*(4+2*2/14+1/14)/10)</f>
        <v>0.35803278688524592</v>
      </c>
      <c r="G13" s="31" t="s">
        <v>50</v>
      </c>
      <c r="H13" s="30">
        <f>H10/(H42*(4+2*2/14+1/14)/10)</f>
        <v>0.35803278688524592</v>
      </c>
      <c r="I13" s="31" t="s">
        <v>50</v>
      </c>
      <c r="J13" s="30">
        <f>J10/(J42*(4+2*11/14+1/14)/10)</f>
        <v>0.65101476793248958</v>
      </c>
      <c r="K13" s="52" t="s">
        <v>50</v>
      </c>
      <c r="L13" s="30">
        <f>L10/(L42*(4+2*11/14+1/14)/10)</f>
        <v>0.65101476793248958</v>
      </c>
      <c r="M13" s="52" t="s">
        <v>50</v>
      </c>
      <c r="N13" s="30">
        <f>N10/(N42*(4+2*2/14+1/14)/10)</f>
        <v>0.35803278688524592</v>
      </c>
      <c r="O13" s="31" t="s">
        <v>50</v>
      </c>
      <c r="P13" s="30">
        <f>P10/(P42*(4+2*2/14+1/14)/10)</f>
        <v>0.35803278688524592</v>
      </c>
      <c r="Q13" s="31" t="s">
        <v>50</v>
      </c>
    </row>
    <row r="14" spans="1:17" ht="16.5">
      <c r="A14" s="51" t="s">
        <v>92</v>
      </c>
      <c r="B14" s="52" t="s">
        <v>81</v>
      </c>
      <c r="C14" s="52" t="s">
        <v>81</v>
      </c>
      <c r="D14" s="52" t="s">
        <v>82</v>
      </c>
      <c r="E14" s="52" t="s">
        <v>82</v>
      </c>
      <c r="F14" s="52" t="s">
        <v>81</v>
      </c>
      <c r="G14" s="52" t="s">
        <v>81</v>
      </c>
      <c r="H14" s="52" t="s">
        <v>82</v>
      </c>
      <c r="I14" s="52" t="s">
        <v>82</v>
      </c>
      <c r="J14" s="52" t="s">
        <v>159</v>
      </c>
      <c r="K14" s="52" t="s">
        <v>159</v>
      </c>
      <c r="L14" s="52" t="s">
        <v>160</v>
      </c>
      <c r="M14" s="52" t="s">
        <v>160</v>
      </c>
      <c r="N14" s="52" t="s">
        <v>159</v>
      </c>
      <c r="O14" s="52" t="s">
        <v>159</v>
      </c>
      <c r="P14" s="52" t="s">
        <v>160</v>
      </c>
      <c r="Q14" s="52" t="s">
        <v>160</v>
      </c>
    </row>
    <row r="15" spans="1:17" ht="15">
      <c r="A15" s="51" t="s">
        <v>80</v>
      </c>
      <c r="B15" s="30">
        <v>120</v>
      </c>
      <c r="C15" s="31">
        <v>120</v>
      </c>
      <c r="D15" s="30">
        <v>3</v>
      </c>
      <c r="E15" s="31">
        <v>3</v>
      </c>
      <c r="F15" s="30">
        <v>120</v>
      </c>
      <c r="G15" s="31">
        <v>120</v>
      </c>
      <c r="H15" s="31">
        <v>3</v>
      </c>
      <c r="I15" s="31">
        <v>3</v>
      </c>
      <c r="J15" s="30">
        <v>120</v>
      </c>
      <c r="K15" s="31">
        <v>120</v>
      </c>
      <c r="L15" s="30">
        <v>3</v>
      </c>
      <c r="M15" s="31">
        <v>3</v>
      </c>
      <c r="N15" s="30">
        <v>120</v>
      </c>
      <c r="O15" s="31">
        <v>120</v>
      </c>
      <c r="P15" s="31">
        <v>3</v>
      </c>
      <c r="Q15" s="31">
        <v>3</v>
      </c>
    </row>
    <row r="16" spans="1:17" ht="15">
      <c r="A16" s="51" t="s">
        <v>9</v>
      </c>
      <c r="B16" s="30">
        <v>3</v>
      </c>
      <c r="C16" s="52">
        <v>3</v>
      </c>
      <c r="D16" s="30">
        <v>3</v>
      </c>
      <c r="E16" s="52">
        <v>3</v>
      </c>
      <c r="F16" s="52">
        <v>3</v>
      </c>
      <c r="G16" s="31">
        <v>3</v>
      </c>
      <c r="H16" s="52">
        <v>3</v>
      </c>
      <c r="I16" s="31">
        <v>3</v>
      </c>
      <c r="J16" s="30">
        <v>3</v>
      </c>
      <c r="K16" s="52">
        <v>3</v>
      </c>
      <c r="L16" s="30">
        <v>3</v>
      </c>
      <c r="M16" s="52">
        <v>3</v>
      </c>
      <c r="N16" s="52">
        <v>3</v>
      </c>
      <c r="O16" s="31">
        <v>3</v>
      </c>
      <c r="P16" s="52">
        <v>3</v>
      </c>
      <c r="Q16" s="31">
        <v>3</v>
      </c>
    </row>
    <row r="17" spans="1:17">
      <c r="A17" s="33" t="s">
        <v>10</v>
      </c>
      <c r="B17" s="50"/>
      <c r="C17" s="50"/>
      <c r="D17" s="50"/>
      <c r="E17" s="50"/>
      <c r="F17" s="50"/>
      <c r="G17" s="50"/>
      <c r="H17" s="50"/>
      <c r="I17" s="50"/>
      <c r="J17" s="50"/>
      <c r="K17" s="50"/>
      <c r="L17" s="50"/>
      <c r="M17" s="50"/>
      <c r="N17" s="50"/>
      <c r="O17" s="50"/>
      <c r="P17" s="50"/>
      <c r="Q17" s="50"/>
    </row>
    <row r="18" spans="1:17" ht="15">
      <c r="A18" s="51" t="s">
        <v>78</v>
      </c>
      <c r="B18" s="30">
        <v>64</v>
      </c>
      <c r="C18" s="52">
        <v>64</v>
      </c>
      <c r="D18" s="30">
        <v>64</v>
      </c>
      <c r="E18" s="52">
        <v>64</v>
      </c>
      <c r="F18" s="31">
        <v>1</v>
      </c>
      <c r="G18" s="52">
        <v>1</v>
      </c>
      <c r="H18" s="31">
        <v>1</v>
      </c>
      <c r="I18" s="52">
        <v>1</v>
      </c>
      <c r="J18" s="30">
        <v>64</v>
      </c>
      <c r="K18" s="52">
        <v>64</v>
      </c>
      <c r="L18" s="30">
        <v>64</v>
      </c>
      <c r="M18" s="52">
        <v>64</v>
      </c>
      <c r="N18" s="31">
        <v>1</v>
      </c>
      <c r="O18" s="52">
        <v>1</v>
      </c>
      <c r="P18" s="31">
        <v>1</v>
      </c>
      <c r="Q18" s="52">
        <v>1</v>
      </c>
    </row>
    <row r="19" spans="1:17" ht="15">
      <c r="A19" s="51" t="s">
        <v>106</v>
      </c>
      <c r="B19" s="30">
        <v>2</v>
      </c>
      <c r="C19" s="52">
        <v>2</v>
      </c>
      <c r="D19" s="30">
        <v>2</v>
      </c>
      <c r="E19" s="52">
        <v>2</v>
      </c>
      <c r="F19" s="31">
        <v>1</v>
      </c>
      <c r="G19" s="52">
        <v>1</v>
      </c>
      <c r="H19" s="31">
        <v>1</v>
      </c>
      <c r="I19" s="52">
        <v>1</v>
      </c>
      <c r="J19" s="30">
        <v>2</v>
      </c>
      <c r="K19" s="52">
        <v>2</v>
      </c>
      <c r="L19" s="30">
        <v>2</v>
      </c>
      <c r="M19" s="52">
        <v>2</v>
      </c>
      <c r="N19" s="31">
        <v>1</v>
      </c>
      <c r="O19" s="52">
        <v>1</v>
      </c>
      <c r="P19" s="31">
        <v>1</v>
      </c>
      <c r="Q19" s="52">
        <v>1</v>
      </c>
    </row>
    <row r="20" spans="1:17" ht="15">
      <c r="A20" s="51" t="s">
        <v>11</v>
      </c>
      <c r="B20" s="30">
        <v>31</v>
      </c>
      <c r="C20" s="52">
        <v>31</v>
      </c>
      <c r="D20" s="30">
        <v>31</v>
      </c>
      <c r="E20" s="52">
        <v>31</v>
      </c>
      <c r="F20" s="31">
        <v>23</v>
      </c>
      <c r="G20" s="52">
        <v>23</v>
      </c>
      <c r="H20" s="31">
        <v>23</v>
      </c>
      <c r="I20" s="52">
        <v>23</v>
      </c>
      <c r="J20" s="30">
        <v>31</v>
      </c>
      <c r="K20" s="52">
        <v>31</v>
      </c>
      <c r="L20" s="30">
        <v>31</v>
      </c>
      <c r="M20" s="52">
        <v>31</v>
      </c>
      <c r="N20" s="31">
        <v>23</v>
      </c>
      <c r="O20" s="52">
        <v>23</v>
      </c>
      <c r="P20" s="31">
        <v>23</v>
      </c>
      <c r="Q20" s="52">
        <v>23</v>
      </c>
    </row>
    <row r="21" spans="1:17" ht="15">
      <c r="A21" s="53" t="s">
        <v>79</v>
      </c>
      <c r="B21" s="36">
        <f t="shared" ref="B21:Q21" si="0">B20+10*LOG10(B18)</f>
        <v>49.061799739838875</v>
      </c>
      <c r="C21" s="36">
        <f t="shared" si="0"/>
        <v>49.061799739838875</v>
      </c>
      <c r="D21" s="36">
        <f t="shared" si="0"/>
        <v>49.061799739838875</v>
      </c>
      <c r="E21" s="36">
        <f t="shared" si="0"/>
        <v>49.061799739838875</v>
      </c>
      <c r="F21" s="36">
        <f t="shared" si="0"/>
        <v>23</v>
      </c>
      <c r="G21" s="36">
        <f t="shared" si="0"/>
        <v>23</v>
      </c>
      <c r="H21" s="36">
        <f t="shared" si="0"/>
        <v>23</v>
      </c>
      <c r="I21" s="36">
        <f t="shared" si="0"/>
        <v>23</v>
      </c>
      <c r="J21" s="36">
        <f t="shared" si="0"/>
        <v>49.061799739838875</v>
      </c>
      <c r="K21" s="36">
        <f t="shared" si="0"/>
        <v>49.061799739838875</v>
      </c>
      <c r="L21" s="36">
        <f t="shared" si="0"/>
        <v>49.061799739838875</v>
      </c>
      <c r="M21" s="36">
        <f t="shared" si="0"/>
        <v>49.061799739838875</v>
      </c>
      <c r="N21" s="36">
        <f t="shared" si="0"/>
        <v>23</v>
      </c>
      <c r="O21" s="36">
        <f t="shared" si="0"/>
        <v>23</v>
      </c>
      <c r="P21" s="36">
        <f t="shared" si="0"/>
        <v>23</v>
      </c>
      <c r="Q21" s="36">
        <f t="shared" si="0"/>
        <v>23</v>
      </c>
    </row>
    <row r="22" spans="1:17" ht="15">
      <c r="A22" s="51" t="s">
        <v>12</v>
      </c>
      <c r="B22" s="30">
        <v>8</v>
      </c>
      <c r="C22" s="52">
        <v>8</v>
      </c>
      <c r="D22" s="30">
        <v>8</v>
      </c>
      <c r="E22" s="52">
        <v>8</v>
      </c>
      <c r="F22" s="31">
        <v>0</v>
      </c>
      <c r="G22" s="52">
        <v>0</v>
      </c>
      <c r="H22" s="31">
        <v>0</v>
      </c>
      <c r="I22" s="52">
        <v>0</v>
      </c>
      <c r="J22" s="30">
        <v>8</v>
      </c>
      <c r="K22" s="52">
        <v>8</v>
      </c>
      <c r="L22" s="30">
        <v>8</v>
      </c>
      <c r="M22" s="52">
        <v>8</v>
      </c>
      <c r="N22" s="31">
        <v>0</v>
      </c>
      <c r="O22" s="52">
        <v>0</v>
      </c>
      <c r="P22" s="31">
        <v>0</v>
      </c>
      <c r="Q22" s="52">
        <v>0</v>
      </c>
    </row>
    <row r="23" spans="1:17" ht="30">
      <c r="A23" s="54" t="s">
        <v>13</v>
      </c>
      <c r="B23" s="36">
        <f t="shared" ref="B23:Q23" si="1">IF(B18&gt;=2, 10*LOG10(B18/2), 0)</f>
        <v>15.051499783199061</v>
      </c>
      <c r="C23" s="36">
        <f t="shared" si="1"/>
        <v>15.051499783199061</v>
      </c>
      <c r="D23" s="36">
        <f t="shared" si="1"/>
        <v>15.051499783199061</v>
      </c>
      <c r="E23" s="36">
        <f t="shared" si="1"/>
        <v>15.051499783199061</v>
      </c>
      <c r="F23" s="36">
        <f t="shared" si="1"/>
        <v>0</v>
      </c>
      <c r="G23" s="36">
        <f t="shared" si="1"/>
        <v>0</v>
      </c>
      <c r="H23" s="36">
        <f t="shared" si="1"/>
        <v>0</v>
      </c>
      <c r="I23" s="36">
        <f t="shared" si="1"/>
        <v>0</v>
      </c>
      <c r="J23" s="36">
        <f t="shared" si="1"/>
        <v>15.051499783199061</v>
      </c>
      <c r="K23" s="36">
        <f t="shared" si="1"/>
        <v>15.051499783199061</v>
      </c>
      <c r="L23" s="36">
        <f t="shared" si="1"/>
        <v>15.051499783199061</v>
      </c>
      <c r="M23" s="36">
        <f t="shared" si="1"/>
        <v>15.051499783199061</v>
      </c>
      <c r="N23" s="36">
        <f t="shared" si="1"/>
        <v>0</v>
      </c>
      <c r="O23" s="36">
        <f t="shared" si="1"/>
        <v>0</v>
      </c>
      <c r="P23" s="36">
        <f t="shared" si="1"/>
        <v>0</v>
      </c>
      <c r="Q23" s="36">
        <f t="shared" si="1"/>
        <v>0</v>
      </c>
    </row>
    <row r="24" spans="1:17" ht="15">
      <c r="A24" s="51" t="s">
        <v>14</v>
      </c>
      <c r="B24" s="30">
        <v>0</v>
      </c>
      <c r="C24" s="31">
        <v>0</v>
      </c>
      <c r="D24" s="30">
        <v>0</v>
      </c>
      <c r="E24" s="31">
        <v>0</v>
      </c>
      <c r="F24" s="31">
        <v>0</v>
      </c>
      <c r="G24" s="31">
        <v>0</v>
      </c>
      <c r="H24" s="31">
        <v>0</v>
      </c>
      <c r="I24" s="31">
        <v>0</v>
      </c>
      <c r="J24" s="30">
        <v>0</v>
      </c>
      <c r="K24" s="31">
        <v>0</v>
      </c>
      <c r="L24" s="30">
        <v>0</v>
      </c>
      <c r="M24" s="31">
        <v>0</v>
      </c>
      <c r="N24" s="31">
        <v>0</v>
      </c>
      <c r="O24" s="31">
        <v>0</v>
      </c>
      <c r="P24" s="31">
        <v>0</v>
      </c>
      <c r="Q24" s="31">
        <v>0</v>
      </c>
    </row>
    <row r="25" spans="1:17" ht="15">
      <c r="A25" s="51" t="s">
        <v>15</v>
      </c>
      <c r="B25" s="30">
        <v>0</v>
      </c>
      <c r="C25" s="31">
        <v>0</v>
      </c>
      <c r="D25" s="30">
        <v>0</v>
      </c>
      <c r="E25" s="31">
        <v>0</v>
      </c>
      <c r="F25" s="31">
        <v>0</v>
      </c>
      <c r="G25" s="31">
        <v>0</v>
      </c>
      <c r="H25" s="31">
        <v>0</v>
      </c>
      <c r="I25" s="31">
        <v>0</v>
      </c>
      <c r="J25" s="30">
        <v>0</v>
      </c>
      <c r="K25" s="31">
        <v>0</v>
      </c>
      <c r="L25" s="30">
        <v>0</v>
      </c>
      <c r="M25" s="31">
        <v>0</v>
      </c>
      <c r="N25" s="31">
        <v>0</v>
      </c>
      <c r="O25" s="31">
        <v>0</v>
      </c>
      <c r="P25" s="31">
        <v>0</v>
      </c>
      <c r="Q25" s="31">
        <v>0</v>
      </c>
    </row>
    <row r="26" spans="1:17" ht="15">
      <c r="A26" s="77" t="s">
        <v>16</v>
      </c>
      <c r="B26" s="30">
        <v>3</v>
      </c>
      <c r="C26" s="30">
        <v>3</v>
      </c>
      <c r="D26" s="30">
        <v>3</v>
      </c>
      <c r="E26" s="30">
        <v>3</v>
      </c>
      <c r="F26" s="30">
        <v>1</v>
      </c>
      <c r="G26" s="30">
        <v>1</v>
      </c>
      <c r="H26" s="30">
        <v>1</v>
      </c>
      <c r="I26" s="30">
        <v>1</v>
      </c>
      <c r="J26" s="30">
        <v>3</v>
      </c>
      <c r="K26" s="30">
        <v>3</v>
      </c>
      <c r="L26" s="30">
        <v>3</v>
      </c>
      <c r="M26" s="30">
        <v>3</v>
      </c>
      <c r="N26" s="30">
        <v>1</v>
      </c>
      <c r="O26" s="30">
        <v>1</v>
      </c>
      <c r="P26" s="30">
        <v>1</v>
      </c>
      <c r="Q26" s="30">
        <v>1</v>
      </c>
    </row>
    <row r="27" spans="1:17" ht="15">
      <c r="A27" s="55" t="s">
        <v>17</v>
      </c>
      <c r="B27" s="35">
        <f t="shared" ref="B27:Q27" si="2">B21+B22+B23+B24-B26</f>
        <v>69.113299523037938</v>
      </c>
      <c r="C27" s="35">
        <f t="shared" si="2"/>
        <v>69.113299523037938</v>
      </c>
      <c r="D27" s="35">
        <f t="shared" si="2"/>
        <v>69.113299523037938</v>
      </c>
      <c r="E27" s="35">
        <f t="shared" si="2"/>
        <v>69.113299523037938</v>
      </c>
      <c r="F27" s="35">
        <f t="shared" si="2"/>
        <v>22</v>
      </c>
      <c r="G27" s="35">
        <f t="shared" si="2"/>
        <v>22</v>
      </c>
      <c r="H27" s="35">
        <f t="shared" si="2"/>
        <v>22</v>
      </c>
      <c r="I27" s="35">
        <f t="shared" si="2"/>
        <v>22</v>
      </c>
      <c r="J27" s="35">
        <f t="shared" si="2"/>
        <v>69.113299523037938</v>
      </c>
      <c r="K27" s="35">
        <f t="shared" si="2"/>
        <v>69.113299523037938</v>
      </c>
      <c r="L27" s="35">
        <f t="shared" si="2"/>
        <v>69.113299523037938</v>
      </c>
      <c r="M27" s="35">
        <f t="shared" si="2"/>
        <v>69.113299523037938</v>
      </c>
      <c r="N27" s="35">
        <f t="shared" si="2"/>
        <v>22</v>
      </c>
      <c r="O27" s="35">
        <f t="shared" si="2"/>
        <v>22</v>
      </c>
      <c r="P27" s="35">
        <f t="shared" si="2"/>
        <v>22</v>
      </c>
      <c r="Q27" s="35">
        <f t="shared" si="2"/>
        <v>22</v>
      </c>
    </row>
    <row r="28" spans="1:17" ht="15">
      <c r="A28" s="55" t="s">
        <v>18</v>
      </c>
      <c r="B28" s="35">
        <f t="shared" ref="B28:Q28" si="3">B21+B22+B23-B25-B26</f>
        <v>69.113299523037938</v>
      </c>
      <c r="C28" s="35">
        <f t="shared" si="3"/>
        <v>69.113299523037938</v>
      </c>
      <c r="D28" s="35">
        <f t="shared" si="3"/>
        <v>69.113299523037938</v>
      </c>
      <c r="E28" s="35">
        <f t="shared" si="3"/>
        <v>69.113299523037938</v>
      </c>
      <c r="F28" s="35">
        <f t="shared" si="3"/>
        <v>22</v>
      </c>
      <c r="G28" s="35">
        <f t="shared" si="3"/>
        <v>22</v>
      </c>
      <c r="H28" s="35">
        <f t="shared" si="3"/>
        <v>22</v>
      </c>
      <c r="I28" s="35">
        <f t="shared" si="3"/>
        <v>22</v>
      </c>
      <c r="J28" s="35">
        <f t="shared" si="3"/>
        <v>69.113299523037938</v>
      </c>
      <c r="K28" s="35">
        <f t="shared" si="3"/>
        <v>69.113299523037938</v>
      </c>
      <c r="L28" s="35">
        <f t="shared" si="3"/>
        <v>69.113299523037938</v>
      </c>
      <c r="M28" s="35">
        <f t="shared" si="3"/>
        <v>69.113299523037938</v>
      </c>
      <c r="N28" s="35">
        <f t="shared" si="3"/>
        <v>22</v>
      </c>
      <c r="O28" s="35">
        <f t="shared" si="3"/>
        <v>22</v>
      </c>
      <c r="P28" s="35">
        <f t="shared" si="3"/>
        <v>22</v>
      </c>
      <c r="Q28" s="35">
        <f t="shared" si="3"/>
        <v>22</v>
      </c>
    </row>
    <row r="29" spans="1:17">
      <c r="A29" s="33" t="s">
        <v>19</v>
      </c>
      <c r="B29" s="50"/>
      <c r="C29" s="50"/>
      <c r="D29" s="50"/>
      <c r="E29" s="50"/>
      <c r="F29" s="50"/>
      <c r="G29" s="50"/>
      <c r="H29" s="50"/>
      <c r="I29" s="50"/>
      <c r="J29" s="50"/>
      <c r="K29" s="50"/>
      <c r="L29" s="50"/>
      <c r="M29" s="50"/>
      <c r="N29" s="50"/>
      <c r="O29" s="50"/>
      <c r="P29" s="50"/>
      <c r="Q29" s="50"/>
    </row>
    <row r="30" spans="1:17" ht="15">
      <c r="A30" s="51" t="s">
        <v>77</v>
      </c>
      <c r="B30" s="30">
        <v>2</v>
      </c>
      <c r="C30" s="52">
        <v>2</v>
      </c>
      <c r="D30" s="30">
        <v>2</v>
      </c>
      <c r="E30" s="52">
        <v>2</v>
      </c>
      <c r="F30" s="52">
        <v>64</v>
      </c>
      <c r="G30" s="52">
        <v>64</v>
      </c>
      <c r="H30" s="52">
        <v>64</v>
      </c>
      <c r="I30" s="52">
        <v>64</v>
      </c>
      <c r="J30" s="30">
        <v>2</v>
      </c>
      <c r="K30" s="52">
        <v>2</v>
      </c>
      <c r="L30" s="30">
        <v>2</v>
      </c>
      <c r="M30" s="52">
        <v>2</v>
      </c>
      <c r="N30" s="52">
        <v>64</v>
      </c>
      <c r="O30" s="52">
        <v>64</v>
      </c>
      <c r="P30" s="52">
        <v>64</v>
      </c>
      <c r="Q30" s="52">
        <v>64</v>
      </c>
    </row>
    <row r="31" spans="1:17" ht="15">
      <c r="A31" s="51" t="s">
        <v>140</v>
      </c>
      <c r="B31" s="30">
        <v>2</v>
      </c>
      <c r="C31" s="52">
        <v>2</v>
      </c>
      <c r="D31" s="30">
        <v>2</v>
      </c>
      <c r="E31" s="52">
        <v>2</v>
      </c>
      <c r="F31" s="52">
        <v>2</v>
      </c>
      <c r="G31" s="52">
        <v>2</v>
      </c>
      <c r="H31" s="52">
        <v>2</v>
      </c>
      <c r="I31" s="52">
        <v>2</v>
      </c>
      <c r="J31" s="30">
        <v>2</v>
      </c>
      <c r="K31" s="52">
        <v>2</v>
      </c>
      <c r="L31" s="30">
        <v>2</v>
      </c>
      <c r="M31" s="52">
        <v>2</v>
      </c>
      <c r="N31" s="52">
        <v>2</v>
      </c>
      <c r="O31" s="52">
        <v>2</v>
      </c>
      <c r="P31" s="52">
        <v>2</v>
      </c>
      <c r="Q31" s="52">
        <v>2</v>
      </c>
    </row>
    <row r="32" spans="1:17" ht="15">
      <c r="A32" s="51" t="s">
        <v>20</v>
      </c>
      <c r="B32" s="30">
        <v>0</v>
      </c>
      <c r="C32" s="52">
        <v>0</v>
      </c>
      <c r="D32" s="30">
        <v>0</v>
      </c>
      <c r="E32" s="52">
        <v>0</v>
      </c>
      <c r="F32" s="52">
        <v>8</v>
      </c>
      <c r="G32" s="52">
        <v>8</v>
      </c>
      <c r="H32" s="52">
        <v>8</v>
      </c>
      <c r="I32" s="52">
        <v>8</v>
      </c>
      <c r="J32" s="30">
        <v>0</v>
      </c>
      <c r="K32" s="52">
        <v>0</v>
      </c>
      <c r="L32" s="30">
        <v>0</v>
      </c>
      <c r="M32" s="52">
        <v>0</v>
      </c>
      <c r="N32" s="52">
        <v>8</v>
      </c>
      <c r="O32" s="52">
        <v>8</v>
      </c>
      <c r="P32" s="52">
        <v>8</v>
      </c>
      <c r="Q32" s="52">
        <v>8</v>
      </c>
    </row>
    <row r="33" spans="1:17" ht="28.5">
      <c r="A33" s="56" t="s">
        <v>143</v>
      </c>
      <c r="B33" s="36">
        <f t="shared" ref="B33:Q33" si="4">IF(B30&gt;=2, 10*LOG10(B30/2), 0)</f>
        <v>0</v>
      </c>
      <c r="C33" s="36">
        <f t="shared" si="4"/>
        <v>0</v>
      </c>
      <c r="D33" s="36">
        <f t="shared" si="4"/>
        <v>0</v>
      </c>
      <c r="E33" s="36">
        <f t="shared" si="4"/>
        <v>0</v>
      </c>
      <c r="F33" s="36">
        <f t="shared" si="4"/>
        <v>15.051499783199061</v>
      </c>
      <c r="G33" s="36">
        <f t="shared" si="4"/>
        <v>15.051499783199061</v>
      </c>
      <c r="H33" s="36">
        <f t="shared" si="4"/>
        <v>15.051499783199061</v>
      </c>
      <c r="I33" s="36">
        <f t="shared" si="4"/>
        <v>15.051499783199061</v>
      </c>
      <c r="J33" s="36">
        <f t="shared" si="4"/>
        <v>0</v>
      </c>
      <c r="K33" s="36">
        <f t="shared" si="4"/>
        <v>0</v>
      </c>
      <c r="L33" s="36">
        <f t="shared" si="4"/>
        <v>0</v>
      </c>
      <c r="M33" s="36">
        <f t="shared" si="4"/>
        <v>0</v>
      </c>
      <c r="N33" s="36">
        <f t="shared" si="4"/>
        <v>15.051499783199061</v>
      </c>
      <c r="O33" s="36">
        <f t="shared" si="4"/>
        <v>15.051499783199061</v>
      </c>
      <c r="P33" s="36">
        <f t="shared" si="4"/>
        <v>15.051499783199061</v>
      </c>
      <c r="Q33" s="36">
        <f t="shared" si="4"/>
        <v>15.051499783199061</v>
      </c>
    </row>
    <row r="34" spans="1:17" ht="15">
      <c r="A34" s="77" t="s">
        <v>21</v>
      </c>
      <c r="B34" s="30">
        <v>1</v>
      </c>
      <c r="C34" s="32">
        <v>1</v>
      </c>
      <c r="D34" s="30">
        <v>1</v>
      </c>
      <c r="E34" s="32">
        <v>1</v>
      </c>
      <c r="F34" s="30">
        <v>3</v>
      </c>
      <c r="G34" s="30">
        <v>3</v>
      </c>
      <c r="H34" s="30">
        <v>3</v>
      </c>
      <c r="I34" s="30">
        <v>3</v>
      </c>
      <c r="J34" s="30">
        <v>1</v>
      </c>
      <c r="K34" s="32">
        <v>1</v>
      </c>
      <c r="L34" s="30">
        <v>1</v>
      </c>
      <c r="M34" s="32">
        <v>1</v>
      </c>
      <c r="N34" s="30">
        <v>3</v>
      </c>
      <c r="O34" s="30">
        <v>3</v>
      </c>
      <c r="P34" s="30">
        <v>3</v>
      </c>
      <c r="Q34" s="30">
        <v>3</v>
      </c>
    </row>
    <row r="35" spans="1:17" ht="15">
      <c r="A35" s="51" t="s">
        <v>22</v>
      </c>
      <c r="B35" s="31">
        <v>7</v>
      </c>
      <c r="C35" s="31">
        <v>7</v>
      </c>
      <c r="D35" s="31">
        <v>7</v>
      </c>
      <c r="E35" s="31">
        <v>7</v>
      </c>
      <c r="F35" s="31">
        <v>5</v>
      </c>
      <c r="G35" s="31">
        <v>5</v>
      </c>
      <c r="H35" s="31">
        <v>5</v>
      </c>
      <c r="I35" s="31">
        <v>5</v>
      </c>
      <c r="J35" s="31">
        <v>7</v>
      </c>
      <c r="K35" s="31">
        <v>7</v>
      </c>
      <c r="L35" s="31">
        <v>7</v>
      </c>
      <c r="M35" s="31">
        <v>7</v>
      </c>
      <c r="N35" s="31">
        <v>5</v>
      </c>
      <c r="O35" s="31">
        <v>5</v>
      </c>
      <c r="P35" s="31">
        <v>5</v>
      </c>
      <c r="Q35" s="31">
        <v>5</v>
      </c>
    </row>
    <row r="36" spans="1:17" ht="15">
      <c r="A36" s="51" t="s">
        <v>23</v>
      </c>
      <c r="B36" s="31">
        <v>-174</v>
      </c>
      <c r="C36" s="31">
        <v>-174</v>
      </c>
      <c r="D36" s="31">
        <v>-174</v>
      </c>
      <c r="E36" s="31">
        <v>-174</v>
      </c>
      <c r="F36" s="30">
        <v>-174</v>
      </c>
      <c r="G36" s="31">
        <v>-174</v>
      </c>
      <c r="H36" s="30">
        <v>-174</v>
      </c>
      <c r="I36" s="31">
        <v>-174</v>
      </c>
      <c r="J36" s="31">
        <v>-174</v>
      </c>
      <c r="K36" s="31">
        <v>-174</v>
      </c>
      <c r="L36" s="31">
        <v>-174</v>
      </c>
      <c r="M36" s="31">
        <v>-174</v>
      </c>
      <c r="N36" s="30">
        <v>-174</v>
      </c>
      <c r="O36" s="31">
        <v>-174</v>
      </c>
      <c r="P36" s="30">
        <v>-174</v>
      </c>
      <c r="Q36" s="31">
        <v>-174</v>
      </c>
    </row>
    <row r="37" spans="1:17" ht="15">
      <c r="A37" s="51" t="s">
        <v>204</v>
      </c>
      <c r="B37" s="30" t="s">
        <v>50</v>
      </c>
      <c r="C37" s="31">
        <v>-169.3</v>
      </c>
      <c r="D37" s="30" t="s">
        <v>50</v>
      </c>
      <c r="E37" s="31">
        <v>-169.3</v>
      </c>
      <c r="F37" s="31" t="s">
        <v>50</v>
      </c>
      <c r="G37" s="31">
        <v>-161.69999999999999</v>
      </c>
      <c r="H37" s="31" t="s">
        <v>50</v>
      </c>
      <c r="I37" s="31">
        <v>-161.69999999999999</v>
      </c>
      <c r="J37" s="30" t="s">
        <v>50</v>
      </c>
      <c r="K37" s="31">
        <v>-169.3</v>
      </c>
      <c r="L37" s="30" t="s">
        <v>50</v>
      </c>
      <c r="M37" s="31">
        <v>-169.3</v>
      </c>
      <c r="N37" s="31" t="s">
        <v>50</v>
      </c>
      <c r="O37" s="31">
        <v>-161.69999999999999</v>
      </c>
      <c r="P37" s="31" t="s">
        <v>50</v>
      </c>
      <c r="Q37" s="31">
        <v>-161.69999999999999</v>
      </c>
    </row>
    <row r="38" spans="1:17" ht="15">
      <c r="A38" s="51" t="s">
        <v>24</v>
      </c>
      <c r="B38" s="30">
        <v>-169.3</v>
      </c>
      <c r="C38" s="31" t="s">
        <v>50</v>
      </c>
      <c r="D38" s="30">
        <v>-169.3</v>
      </c>
      <c r="E38" s="31" t="s">
        <v>50</v>
      </c>
      <c r="F38" s="31">
        <v>-165.7</v>
      </c>
      <c r="G38" s="31" t="s">
        <v>50</v>
      </c>
      <c r="H38" s="31">
        <v>-165.7</v>
      </c>
      <c r="I38" s="31" t="s">
        <v>50</v>
      </c>
      <c r="J38" s="30">
        <v>-169.3</v>
      </c>
      <c r="K38" s="31" t="s">
        <v>50</v>
      </c>
      <c r="L38" s="30">
        <v>-169.3</v>
      </c>
      <c r="M38" s="31" t="s">
        <v>50</v>
      </c>
      <c r="N38" s="31">
        <v>-165.7</v>
      </c>
      <c r="O38" s="31" t="s">
        <v>50</v>
      </c>
      <c r="P38" s="31">
        <v>-165.7</v>
      </c>
      <c r="Q38" s="31" t="s">
        <v>50</v>
      </c>
    </row>
    <row r="39" spans="1:17" ht="15">
      <c r="A39" s="57" t="s">
        <v>205</v>
      </c>
      <c r="B39" s="35" t="s">
        <v>50</v>
      </c>
      <c r="C39" s="35">
        <f t="shared" ref="C39:I39" si="5">10*LOG10(10^((C35+C36)/10)+10^(C37/10))</f>
        <v>-164.98918835931039</v>
      </c>
      <c r="D39" s="35" t="s">
        <v>50</v>
      </c>
      <c r="E39" s="35">
        <f t="shared" si="5"/>
        <v>-164.98918835931039</v>
      </c>
      <c r="F39" s="35" t="s">
        <v>50</v>
      </c>
      <c r="G39" s="35">
        <f t="shared" si="5"/>
        <v>-160.9583889004532</v>
      </c>
      <c r="H39" s="35" t="s">
        <v>50</v>
      </c>
      <c r="I39" s="35">
        <f t="shared" si="5"/>
        <v>-160.9583889004532</v>
      </c>
      <c r="J39" s="35" t="s">
        <v>50</v>
      </c>
      <c r="K39" s="35">
        <f t="shared" ref="K39:Q39" si="6">10*LOG10(10^((K35+K36)/10)+10^(K37/10))</f>
        <v>-164.98918835931039</v>
      </c>
      <c r="L39" s="35" t="s">
        <v>50</v>
      </c>
      <c r="M39" s="35">
        <f t="shared" si="6"/>
        <v>-164.98918835931039</v>
      </c>
      <c r="N39" s="35" t="s">
        <v>50</v>
      </c>
      <c r="O39" s="35">
        <f t="shared" si="6"/>
        <v>-160.9583889004532</v>
      </c>
      <c r="P39" s="35" t="s">
        <v>50</v>
      </c>
      <c r="Q39" s="35">
        <f t="shared" si="6"/>
        <v>-160.9583889004532</v>
      </c>
    </row>
    <row r="40" spans="1:17" ht="15">
      <c r="A40" s="57" t="s">
        <v>206</v>
      </c>
      <c r="B40" s="35">
        <f t="shared" ref="B40:H40" si="7">10*LOG10(10^((B35+B36)/10)+10^(B38/10))</f>
        <v>-164.98918835931039</v>
      </c>
      <c r="C40" s="35" t="s">
        <v>50</v>
      </c>
      <c r="D40" s="35">
        <f t="shared" si="7"/>
        <v>-164.98918835931039</v>
      </c>
      <c r="E40" s="35" t="s">
        <v>50</v>
      </c>
      <c r="F40" s="35">
        <f t="shared" si="7"/>
        <v>-164.03352307536667</v>
      </c>
      <c r="G40" s="35" t="s">
        <v>50</v>
      </c>
      <c r="H40" s="35">
        <f t="shared" si="7"/>
        <v>-164.03352307536667</v>
      </c>
      <c r="I40" s="35" t="s">
        <v>50</v>
      </c>
      <c r="J40" s="35">
        <f t="shared" ref="J40:P40" si="8">10*LOG10(10^((J35+J36)/10)+10^(J38/10))</f>
        <v>-164.98918835931039</v>
      </c>
      <c r="K40" s="35" t="s">
        <v>50</v>
      </c>
      <c r="L40" s="35">
        <f t="shared" si="8"/>
        <v>-164.98918835931039</v>
      </c>
      <c r="M40" s="35" t="s">
        <v>50</v>
      </c>
      <c r="N40" s="35">
        <f t="shared" si="8"/>
        <v>-164.03352307536667</v>
      </c>
      <c r="O40" s="35" t="s">
        <v>50</v>
      </c>
      <c r="P40" s="35">
        <f t="shared" si="8"/>
        <v>-164.03352307536667</v>
      </c>
      <c r="Q40" s="35" t="s">
        <v>50</v>
      </c>
    </row>
    <row r="41" spans="1:17" ht="15">
      <c r="A41" s="51" t="s">
        <v>25</v>
      </c>
      <c r="B41" s="30" t="s">
        <v>50</v>
      </c>
      <c r="C41" s="30">
        <f>MaxN_RB!$F$6*12*15*1000</f>
        <v>19080000</v>
      </c>
      <c r="D41" s="30" t="s">
        <v>50</v>
      </c>
      <c r="E41" s="30">
        <f>MaxN_RB!$F$6*12*15*1000</f>
        <v>19080000</v>
      </c>
      <c r="F41" s="52" t="s">
        <v>50</v>
      </c>
      <c r="G41" s="31">
        <f>1*12*30*1000</f>
        <v>360000</v>
      </c>
      <c r="H41" s="52" t="s">
        <v>50</v>
      </c>
      <c r="I41" s="31">
        <f>1*12*30*1000</f>
        <v>360000</v>
      </c>
      <c r="J41" s="30" t="s">
        <v>50</v>
      </c>
      <c r="K41" s="30">
        <f>MaxN_RB!F7*12*30*1000</f>
        <v>18360000</v>
      </c>
      <c r="L41" s="30" t="s">
        <v>50</v>
      </c>
      <c r="M41" s="30">
        <f>MaxN_RB!F7*12*30*1000</f>
        <v>18360000</v>
      </c>
      <c r="N41" s="52" t="s">
        <v>50</v>
      </c>
      <c r="O41" s="31">
        <f>1*12*30*1000</f>
        <v>360000</v>
      </c>
      <c r="P41" s="52" t="s">
        <v>50</v>
      </c>
      <c r="Q41" s="31">
        <f>1*12*30*1000</f>
        <v>360000</v>
      </c>
    </row>
    <row r="42" spans="1:17" ht="15">
      <c r="A42" s="51" t="s">
        <v>26</v>
      </c>
      <c r="B42" s="30">
        <f>MaxN_RB!$F$7*12*30*1000</f>
        <v>18360000</v>
      </c>
      <c r="C42" s="52" t="s">
        <v>50</v>
      </c>
      <c r="D42" s="30">
        <f>MaxN_RB!$F$7*12*30*1000</f>
        <v>18360000</v>
      </c>
      <c r="E42" s="52" t="s">
        <v>50</v>
      </c>
      <c r="F42" s="30">
        <f>4*12*30*1000</f>
        <v>1440000</v>
      </c>
      <c r="G42" s="31" t="s">
        <v>50</v>
      </c>
      <c r="H42" s="30">
        <f>4*12*30*1000</f>
        <v>1440000</v>
      </c>
      <c r="I42" s="31" t="s">
        <v>50</v>
      </c>
      <c r="J42" s="30">
        <f>MaxN_RB!F7*12*30*1000</f>
        <v>18360000</v>
      </c>
      <c r="K42" s="52" t="s">
        <v>50</v>
      </c>
      <c r="L42" s="30">
        <f>MaxN_RB!F7*12*30*1000</f>
        <v>18360000</v>
      </c>
      <c r="M42" s="52" t="s">
        <v>50</v>
      </c>
      <c r="N42" s="30">
        <f>4*12*30*1000</f>
        <v>1440000</v>
      </c>
      <c r="O42" s="31" t="s">
        <v>50</v>
      </c>
      <c r="P42" s="30">
        <f>4*12*30*1000</f>
        <v>1440000</v>
      </c>
      <c r="Q42" s="31" t="s">
        <v>50</v>
      </c>
    </row>
    <row r="43" spans="1:17" ht="15">
      <c r="A43" s="55" t="s">
        <v>27</v>
      </c>
      <c r="B43" s="35" t="s">
        <v>50</v>
      </c>
      <c r="C43" s="35">
        <f t="shared" ref="B43:I44" si="9">C39+10*LOG10(C41)</f>
        <v>-92.18340465562963</v>
      </c>
      <c r="D43" s="35" t="s">
        <v>50</v>
      </c>
      <c r="E43" s="35">
        <f t="shared" si="9"/>
        <v>-92.18340465562963</v>
      </c>
      <c r="F43" s="35" t="s">
        <v>50</v>
      </c>
      <c r="G43" s="35">
        <f t="shared" si="9"/>
        <v>-105.39536389278032</v>
      </c>
      <c r="H43" s="35" t="s">
        <v>50</v>
      </c>
      <c r="I43" s="35">
        <f t="shared" si="9"/>
        <v>-105.39536389278032</v>
      </c>
      <c r="J43" s="35" t="s">
        <v>50</v>
      </c>
      <c r="K43" s="35">
        <f t="shared" ref="J43:Q44" si="10">K39+10*LOG10(K41)</f>
        <v>-92.350461590658156</v>
      </c>
      <c r="L43" s="35" t="s">
        <v>50</v>
      </c>
      <c r="M43" s="35">
        <f t="shared" si="10"/>
        <v>-92.350461590658156</v>
      </c>
      <c r="N43" s="35" t="s">
        <v>50</v>
      </c>
      <c r="O43" s="35">
        <f t="shared" si="10"/>
        <v>-105.39536389278032</v>
      </c>
      <c r="P43" s="35" t="s">
        <v>50</v>
      </c>
      <c r="Q43" s="35">
        <f t="shared" si="10"/>
        <v>-105.39536389278032</v>
      </c>
    </row>
    <row r="44" spans="1:17" ht="15">
      <c r="A44" s="55" t="s">
        <v>28</v>
      </c>
      <c r="B44" s="35">
        <f t="shared" si="9"/>
        <v>-92.350461590658156</v>
      </c>
      <c r="C44" s="35" t="s">
        <v>50</v>
      </c>
      <c r="D44" s="35">
        <f t="shared" si="9"/>
        <v>-92.350461590658156</v>
      </c>
      <c r="E44" s="35" t="s">
        <v>50</v>
      </c>
      <c r="F44" s="35">
        <f t="shared" si="9"/>
        <v>-102.44989815441417</v>
      </c>
      <c r="G44" s="35" t="s">
        <v>50</v>
      </c>
      <c r="H44" s="35">
        <f t="shared" si="9"/>
        <v>-102.44989815441417</v>
      </c>
      <c r="I44" s="35" t="s">
        <v>50</v>
      </c>
      <c r="J44" s="35">
        <f t="shared" si="10"/>
        <v>-92.350461590658156</v>
      </c>
      <c r="K44" s="35" t="s">
        <v>50</v>
      </c>
      <c r="L44" s="35">
        <f t="shared" si="10"/>
        <v>-92.350461590658156</v>
      </c>
      <c r="M44" s="35" t="s">
        <v>50</v>
      </c>
      <c r="N44" s="35">
        <f t="shared" si="10"/>
        <v>-102.44989815441417</v>
      </c>
      <c r="O44" s="35" t="s">
        <v>50</v>
      </c>
      <c r="P44" s="35">
        <f t="shared" si="10"/>
        <v>-102.44989815441417</v>
      </c>
      <c r="Q44" s="35" t="s">
        <v>50</v>
      </c>
    </row>
    <row r="45" spans="1:17" ht="15">
      <c r="A45" s="51" t="s">
        <v>29</v>
      </c>
      <c r="B45" s="30" t="s">
        <v>50</v>
      </c>
      <c r="C45" s="68">
        <v>-4.5999999999999996</v>
      </c>
      <c r="D45" s="68" t="s">
        <v>50</v>
      </c>
      <c r="E45" s="68">
        <v>-4.5</v>
      </c>
      <c r="F45" s="30" t="s">
        <v>50</v>
      </c>
      <c r="G45" s="68">
        <v>-5</v>
      </c>
      <c r="H45" s="68" t="s">
        <v>50</v>
      </c>
      <c r="I45" s="68">
        <v>-7.5</v>
      </c>
      <c r="J45" s="68" t="s">
        <v>50</v>
      </c>
      <c r="K45" s="68">
        <v>-9.4</v>
      </c>
      <c r="L45" s="68" t="s">
        <v>50</v>
      </c>
      <c r="M45" s="68">
        <v>-9.6999999999999993</v>
      </c>
      <c r="N45" s="68" t="s">
        <v>50</v>
      </c>
      <c r="O45" s="68">
        <v>-9.4</v>
      </c>
      <c r="P45" s="68" t="s">
        <v>50</v>
      </c>
      <c r="Q45" s="68">
        <v>-10</v>
      </c>
    </row>
    <row r="46" spans="1:17" ht="15">
      <c r="A46" s="51" t="s">
        <v>30</v>
      </c>
      <c r="B46" s="30">
        <v>2.8</v>
      </c>
      <c r="C46" s="30" t="s">
        <v>50</v>
      </c>
      <c r="D46" s="30">
        <v>-0.5</v>
      </c>
      <c r="E46" s="30" t="s">
        <v>50</v>
      </c>
      <c r="F46" s="68">
        <v>1.28</v>
      </c>
      <c r="G46" s="30" t="s">
        <v>50</v>
      </c>
      <c r="H46" s="68">
        <v>0.45</v>
      </c>
      <c r="I46" s="30" t="s">
        <v>50</v>
      </c>
      <c r="J46" s="68">
        <v>0.2</v>
      </c>
      <c r="K46" s="68" t="s">
        <v>50</v>
      </c>
      <c r="L46" s="68">
        <v>-0.8</v>
      </c>
      <c r="M46" s="68" t="s">
        <v>50</v>
      </c>
      <c r="N46" s="68">
        <v>-2</v>
      </c>
      <c r="O46" s="68" t="s">
        <v>50</v>
      </c>
      <c r="P46" s="68">
        <v>-2</v>
      </c>
      <c r="Q46" s="68" t="s">
        <v>50</v>
      </c>
    </row>
    <row r="47" spans="1:17" ht="15">
      <c r="A47" s="51" t="s">
        <v>31</v>
      </c>
      <c r="B47" s="30">
        <v>2</v>
      </c>
      <c r="C47" s="31">
        <v>2</v>
      </c>
      <c r="D47" s="30">
        <v>2</v>
      </c>
      <c r="E47" s="31">
        <v>2</v>
      </c>
      <c r="F47" s="52">
        <v>2</v>
      </c>
      <c r="G47" s="31">
        <v>2</v>
      </c>
      <c r="H47" s="52">
        <v>2</v>
      </c>
      <c r="I47" s="31">
        <v>2</v>
      </c>
      <c r="J47" s="30">
        <v>2</v>
      </c>
      <c r="K47" s="31">
        <v>2</v>
      </c>
      <c r="L47" s="30">
        <v>2</v>
      </c>
      <c r="M47" s="31">
        <v>2</v>
      </c>
      <c r="N47" s="52">
        <v>2</v>
      </c>
      <c r="O47" s="31">
        <v>2</v>
      </c>
      <c r="P47" s="52">
        <v>2</v>
      </c>
      <c r="Q47" s="31">
        <v>2</v>
      </c>
    </row>
    <row r="48" spans="1:17" ht="15">
      <c r="A48" s="51" t="s">
        <v>32</v>
      </c>
      <c r="B48" s="30" t="s">
        <v>50</v>
      </c>
      <c r="C48" s="31">
        <v>0</v>
      </c>
      <c r="D48" s="30" t="s">
        <v>50</v>
      </c>
      <c r="E48" s="31">
        <v>0</v>
      </c>
      <c r="F48" s="52" t="s">
        <v>50</v>
      </c>
      <c r="G48" s="31">
        <v>0</v>
      </c>
      <c r="H48" s="52" t="s">
        <v>50</v>
      </c>
      <c r="I48" s="31">
        <v>0</v>
      </c>
      <c r="J48" s="30" t="s">
        <v>50</v>
      </c>
      <c r="K48" s="31">
        <v>0</v>
      </c>
      <c r="L48" s="30" t="s">
        <v>50</v>
      </c>
      <c r="M48" s="31">
        <v>0</v>
      </c>
      <c r="N48" s="52" t="s">
        <v>50</v>
      </c>
      <c r="O48" s="31">
        <v>0</v>
      </c>
      <c r="P48" s="52" t="s">
        <v>50</v>
      </c>
      <c r="Q48" s="31">
        <v>0</v>
      </c>
    </row>
    <row r="49" spans="1:17" ht="15">
      <c r="A49" s="51" t="s">
        <v>33</v>
      </c>
      <c r="B49" s="30">
        <v>0.5</v>
      </c>
      <c r="C49" s="31" t="s">
        <v>50</v>
      </c>
      <c r="D49" s="30">
        <v>0.5</v>
      </c>
      <c r="E49" s="31" t="s">
        <v>50</v>
      </c>
      <c r="F49" s="52">
        <v>0.5</v>
      </c>
      <c r="G49" s="31" t="s">
        <v>50</v>
      </c>
      <c r="H49" s="52">
        <v>0.5</v>
      </c>
      <c r="I49" s="31" t="s">
        <v>50</v>
      </c>
      <c r="J49" s="30">
        <v>0.5</v>
      </c>
      <c r="K49" s="31" t="s">
        <v>50</v>
      </c>
      <c r="L49" s="30">
        <v>0.5</v>
      </c>
      <c r="M49" s="31" t="s">
        <v>50</v>
      </c>
      <c r="N49" s="52">
        <v>0.5</v>
      </c>
      <c r="O49" s="31" t="s">
        <v>50</v>
      </c>
      <c r="P49" s="52">
        <v>0.5</v>
      </c>
      <c r="Q49" s="31" t="s">
        <v>50</v>
      </c>
    </row>
    <row r="50" spans="1:17" ht="15">
      <c r="A50" s="57" t="s">
        <v>44</v>
      </c>
      <c r="B50" s="35" t="s">
        <v>50</v>
      </c>
      <c r="C50" s="35">
        <f t="shared" ref="C50:I50" si="11">C43+C45+C47-C48</f>
        <v>-94.783404655629624</v>
      </c>
      <c r="D50" s="35" t="s">
        <v>50</v>
      </c>
      <c r="E50" s="35">
        <f t="shared" si="11"/>
        <v>-94.68340465562963</v>
      </c>
      <c r="F50" s="35" t="s">
        <v>50</v>
      </c>
      <c r="G50" s="35">
        <f t="shared" si="11"/>
        <v>-108.39536389278032</v>
      </c>
      <c r="H50" s="35" t="s">
        <v>50</v>
      </c>
      <c r="I50" s="35">
        <f t="shared" si="11"/>
        <v>-110.89536389278032</v>
      </c>
      <c r="J50" s="35" t="s">
        <v>50</v>
      </c>
      <c r="K50" s="35">
        <f t="shared" ref="K50:Q50" si="12">K43+K45+K47-K48</f>
        <v>-99.750461590658162</v>
      </c>
      <c r="L50" s="35" t="s">
        <v>50</v>
      </c>
      <c r="M50" s="35">
        <f t="shared" si="12"/>
        <v>-100.05046159065816</v>
      </c>
      <c r="N50" s="35" t="s">
        <v>50</v>
      </c>
      <c r="O50" s="35">
        <f t="shared" si="12"/>
        <v>-112.79536389278033</v>
      </c>
      <c r="P50" s="35" t="s">
        <v>50</v>
      </c>
      <c r="Q50" s="35">
        <f t="shared" si="12"/>
        <v>-113.39536389278032</v>
      </c>
    </row>
    <row r="51" spans="1:17" ht="15">
      <c r="A51" s="57" t="s">
        <v>45</v>
      </c>
      <c r="B51" s="35">
        <f>B44+B46+B47-B49</f>
        <v>-88.050461590658159</v>
      </c>
      <c r="C51" s="35" t="s">
        <v>50</v>
      </c>
      <c r="D51" s="35">
        <f t="shared" ref="D51:H51" si="13">D44+D46+D47-D49</f>
        <v>-91.350461590658156</v>
      </c>
      <c r="E51" s="35" t="s">
        <v>50</v>
      </c>
      <c r="F51" s="35">
        <f t="shared" si="13"/>
        <v>-99.66989815441417</v>
      </c>
      <c r="G51" s="35" t="s">
        <v>50</v>
      </c>
      <c r="H51" s="35">
        <f t="shared" si="13"/>
        <v>-100.49989815441417</v>
      </c>
      <c r="I51" s="35" t="s">
        <v>50</v>
      </c>
      <c r="J51" s="35">
        <f>J44+J46+J47-J49</f>
        <v>-90.650461590658153</v>
      </c>
      <c r="K51" s="35" t="s">
        <v>50</v>
      </c>
      <c r="L51" s="35">
        <f t="shared" ref="L51:P51" si="14">L44+L46+L47-L49</f>
        <v>-91.650461590658153</v>
      </c>
      <c r="M51" s="35" t="s">
        <v>50</v>
      </c>
      <c r="N51" s="35">
        <f t="shared" si="14"/>
        <v>-102.94989815441417</v>
      </c>
      <c r="O51" s="35" t="s">
        <v>50</v>
      </c>
      <c r="P51" s="35">
        <f t="shared" si="14"/>
        <v>-102.94989815441417</v>
      </c>
      <c r="Q51" s="35" t="s">
        <v>50</v>
      </c>
    </row>
    <row r="52" spans="1:17" ht="15">
      <c r="A52" s="57" t="s">
        <v>89</v>
      </c>
      <c r="B52" s="35" t="s">
        <v>50</v>
      </c>
      <c r="C52" s="35">
        <f t="shared" ref="C52:I52" si="15">C27+C32+C33-C50</f>
        <v>163.89670417866756</v>
      </c>
      <c r="D52" s="35" t="s">
        <v>50</v>
      </c>
      <c r="E52" s="35">
        <f t="shared" si="15"/>
        <v>163.79670417866757</v>
      </c>
      <c r="F52" s="35" t="s">
        <v>50</v>
      </c>
      <c r="G52" s="35">
        <f t="shared" si="15"/>
        <v>153.44686367597939</v>
      </c>
      <c r="H52" s="35" t="s">
        <v>50</v>
      </c>
      <c r="I52" s="35">
        <f t="shared" si="15"/>
        <v>155.94686367597939</v>
      </c>
      <c r="J52" s="35" t="s">
        <v>50</v>
      </c>
      <c r="K52" s="35">
        <f t="shared" ref="K52:Q52" si="16">K27+K32+K33-K50</f>
        <v>168.86376111369611</v>
      </c>
      <c r="L52" s="35" t="s">
        <v>50</v>
      </c>
      <c r="M52" s="35">
        <f t="shared" si="16"/>
        <v>169.1637611136961</v>
      </c>
      <c r="N52" s="35" t="s">
        <v>50</v>
      </c>
      <c r="O52" s="35">
        <f t="shared" si="16"/>
        <v>157.84686367597939</v>
      </c>
      <c r="P52" s="35" t="s">
        <v>50</v>
      </c>
      <c r="Q52" s="35">
        <f t="shared" si="16"/>
        <v>158.44686367597939</v>
      </c>
    </row>
    <row r="53" spans="1:17" ht="15">
      <c r="A53" s="57" t="s">
        <v>90</v>
      </c>
      <c r="B53" s="35">
        <f t="shared" ref="B53:H53" si="17">B28+B32+B33-B51</f>
        <v>157.1637611136961</v>
      </c>
      <c r="C53" s="35" t="s">
        <v>50</v>
      </c>
      <c r="D53" s="35">
        <f t="shared" si="17"/>
        <v>160.46376111369608</v>
      </c>
      <c r="E53" s="35" t="s">
        <v>50</v>
      </c>
      <c r="F53" s="35">
        <f t="shared" si="17"/>
        <v>144.72139793761323</v>
      </c>
      <c r="G53" s="35" t="s">
        <v>50</v>
      </c>
      <c r="H53" s="35">
        <f t="shared" si="17"/>
        <v>145.55139793761322</v>
      </c>
      <c r="I53" s="35" t="s">
        <v>50</v>
      </c>
      <c r="J53" s="35">
        <f t="shared" ref="J53:P53" si="18">J28+J32+J33-J51</f>
        <v>159.76376111369609</v>
      </c>
      <c r="K53" s="35" t="s">
        <v>50</v>
      </c>
      <c r="L53" s="35">
        <f t="shared" si="18"/>
        <v>160.76376111369609</v>
      </c>
      <c r="M53" s="35" t="s">
        <v>50</v>
      </c>
      <c r="N53" s="35">
        <f t="shared" si="18"/>
        <v>148.00139793761323</v>
      </c>
      <c r="O53" s="35" t="s">
        <v>50</v>
      </c>
      <c r="P53" s="35">
        <f t="shared" si="18"/>
        <v>148.00139793761323</v>
      </c>
      <c r="Q53" s="35" t="s">
        <v>50</v>
      </c>
    </row>
    <row r="54" spans="1:17">
      <c r="A54" s="33" t="s">
        <v>34</v>
      </c>
      <c r="B54" s="50"/>
      <c r="C54" s="50"/>
      <c r="D54" s="50"/>
      <c r="E54" s="50"/>
      <c r="F54" s="50"/>
      <c r="G54" s="50"/>
      <c r="H54" s="50"/>
      <c r="I54" s="50"/>
      <c r="J54" s="50"/>
      <c r="K54" s="50"/>
      <c r="L54" s="50"/>
      <c r="M54" s="50"/>
      <c r="N54" s="50"/>
      <c r="O54" s="50"/>
      <c r="P54" s="50"/>
      <c r="Q54" s="50"/>
    </row>
    <row r="55" spans="1:17" ht="15">
      <c r="A55" s="51" t="s">
        <v>35</v>
      </c>
      <c r="B55" s="52">
        <v>8</v>
      </c>
      <c r="C55" s="52">
        <v>8</v>
      </c>
      <c r="D55" s="52">
        <v>8</v>
      </c>
      <c r="E55" s="52">
        <v>8</v>
      </c>
      <c r="F55" s="52">
        <v>8</v>
      </c>
      <c r="G55" s="52">
        <v>8</v>
      </c>
      <c r="H55" s="52">
        <v>8</v>
      </c>
      <c r="I55" s="52">
        <v>8</v>
      </c>
      <c r="J55" s="70">
        <v>6</v>
      </c>
      <c r="K55" s="70">
        <v>6</v>
      </c>
      <c r="L55" s="70">
        <v>8</v>
      </c>
      <c r="M55" s="70">
        <v>8</v>
      </c>
      <c r="N55" s="70">
        <v>6</v>
      </c>
      <c r="O55" s="70">
        <v>6</v>
      </c>
      <c r="P55" s="70">
        <v>8</v>
      </c>
      <c r="Q55" s="70">
        <v>8</v>
      </c>
    </row>
    <row r="56" spans="1:17" ht="15">
      <c r="A56" s="51" t="s">
        <v>36</v>
      </c>
      <c r="B56" s="38" t="s">
        <v>50</v>
      </c>
      <c r="C56" s="52">
        <v>10.45</v>
      </c>
      <c r="D56" s="52" t="s">
        <v>50</v>
      </c>
      <c r="E56" s="52">
        <v>8.4499999999999993</v>
      </c>
      <c r="F56" s="38" t="s">
        <v>50</v>
      </c>
      <c r="G56" s="52">
        <v>10.45</v>
      </c>
      <c r="H56" s="52" t="s">
        <v>50</v>
      </c>
      <c r="I56" s="52">
        <v>8.4499999999999993</v>
      </c>
      <c r="J56" s="83" t="s">
        <v>50</v>
      </c>
      <c r="K56" s="70">
        <v>8.06</v>
      </c>
      <c r="L56" s="70" t="s">
        <v>50</v>
      </c>
      <c r="M56" s="70">
        <v>8.2899999999999991</v>
      </c>
      <c r="N56" s="83" t="s">
        <v>50</v>
      </c>
      <c r="O56" s="70">
        <v>8.06</v>
      </c>
      <c r="P56" s="70" t="s">
        <v>50</v>
      </c>
      <c r="Q56" s="70">
        <v>8.2899999999999991</v>
      </c>
    </row>
    <row r="57" spans="1:17" ht="15">
      <c r="A57" s="51" t="s">
        <v>37</v>
      </c>
      <c r="B57" s="52">
        <v>6.61</v>
      </c>
      <c r="C57" s="38" t="s">
        <v>50</v>
      </c>
      <c r="D57" s="52">
        <v>5.13</v>
      </c>
      <c r="E57" s="38" t="s">
        <v>50</v>
      </c>
      <c r="F57" s="52">
        <v>6.61</v>
      </c>
      <c r="G57" s="38" t="s">
        <v>50</v>
      </c>
      <c r="H57" s="52">
        <v>5.13</v>
      </c>
      <c r="I57" s="38" t="s">
        <v>50</v>
      </c>
      <c r="J57" s="70">
        <v>4.79</v>
      </c>
      <c r="K57" s="83" t="s">
        <v>50</v>
      </c>
      <c r="L57" s="70">
        <v>5.0199999999999996</v>
      </c>
      <c r="M57" s="83" t="s">
        <v>50</v>
      </c>
      <c r="N57" s="70">
        <v>4.79</v>
      </c>
      <c r="O57" s="83" t="s">
        <v>50</v>
      </c>
      <c r="P57" s="70">
        <v>5.0199999999999996</v>
      </c>
      <c r="Q57" s="83" t="s">
        <v>50</v>
      </c>
    </row>
    <row r="58" spans="1:17" ht="15">
      <c r="A58" s="51" t="s">
        <v>38</v>
      </c>
      <c r="B58" s="32">
        <v>0</v>
      </c>
      <c r="C58" s="32">
        <v>0</v>
      </c>
      <c r="D58" s="32">
        <v>0</v>
      </c>
      <c r="E58" s="32">
        <v>0</v>
      </c>
      <c r="F58" s="32">
        <v>0</v>
      </c>
      <c r="G58" s="32">
        <v>0</v>
      </c>
      <c r="H58" s="32">
        <v>0</v>
      </c>
      <c r="I58" s="32">
        <v>0</v>
      </c>
      <c r="J58" s="69">
        <v>0</v>
      </c>
      <c r="K58" s="69">
        <v>0</v>
      </c>
      <c r="L58" s="69">
        <v>0</v>
      </c>
      <c r="M58" s="69">
        <v>0</v>
      </c>
      <c r="N58" s="69">
        <v>0</v>
      </c>
      <c r="O58" s="69">
        <v>0</v>
      </c>
      <c r="P58" s="69">
        <v>0</v>
      </c>
      <c r="Q58" s="69">
        <v>0</v>
      </c>
    </row>
    <row r="59" spans="1:17" ht="15">
      <c r="A59" s="51" t="s">
        <v>39</v>
      </c>
      <c r="B59" s="32">
        <v>9</v>
      </c>
      <c r="C59" s="32">
        <v>9</v>
      </c>
      <c r="D59" s="32">
        <v>12.5</v>
      </c>
      <c r="E59" s="32">
        <v>12.5</v>
      </c>
      <c r="F59" s="32">
        <v>9</v>
      </c>
      <c r="G59" s="32">
        <v>9</v>
      </c>
      <c r="H59" s="32">
        <v>12.5</v>
      </c>
      <c r="I59" s="32">
        <v>12.5</v>
      </c>
      <c r="J59" s="69">
        <v>9</v>
      </c>
      <c r="K59" s="69">
        <v>9</v>
      </c>
      <c r="L59" s="69">
        <v>12.5</v>
      </c>
      <c r="M59" s="69">
        <v>12.5</v>
      </c>
      <c r="N59" s="69">
        <v>9</v>
      </c>
      <c r="O59" s="69">
        <v>9</v>
      </c>
      <c r="P59" s="69">
        <v>12.5</v>
      </c>
      <c r="Q59" s="69">
        <v>12.5</v>
      </c>
    </row>
    <row r="60" spans="1:17" ht="15">
      <c r="A60" s="51" t="s">
        <v>40</v>
      </c>
      <c r="B60" s="52">
        <v>0</v>
      </c>
      <c r="C60" s="52">
        <v>0</v>
      </c>
      <c r="D60" s="52">
        <v>0</v>
      </c>
      <c r="E60" s="52">
        <v>0</v>
      </c>
      <c r="F60" s="52">
        <v>0</v>
      </c>
      <c r="G60" s="52">
        <v>0</v>
      </c>
      <c r="H60" s="52">
        <v>0</v>
      </c>
      <c r="I60" s="52">
        <v>0</v>
      </c>
      <c r="J60" s="52">
        <v>0</v>
      </c>
      <c r="K60" s="52">
        <v>0</v>
      </c>
      <c r="L60" s="52">
        <v>0</v>
      </c>
      <c r="M60" s="52">
        <v>0</v>
      </c>
      <c r="N60" s="52">
        <v>0</v>
      </c>
      <c r="O60" s="52">
        <v>0</v>
      </c>
      <c r="P60" s="52">
        <v>0</v>
      </c>
      <c r="Q60" s="52">
        <v>0</v>
      </c>
    </row>
    <row r="61" spans="1:17" ht="15">
      <c r="A61" s="57" t="s">
        <v>49</v>
      </c>
      <c r="B61" s="35" t="s">
        <v>50</v>
      </c>
      <c r="C61" s="35">
        <f t="shared" ref="C61:I61" si="19">C52-C56+C58-C59+C60-C34</f>
        <v>143.44670417866757</v>
      </c>
      <c r="D61" s="35" t="s">
        <v>50</v>
      </c>
      <c r="E61" s="35">
        <f t="shared" si="19"/>
        <v>141.84670417866758</v>
      </c>
      <c r="F61" s="35" t="s">
        <v>50</v>
      </c>
      <c r="G61" s="35">
        <f t="shared" si="19"/>
        <v>130.9968636759794</v>
      </c>
      <c r="H61" s="35" t="s">
        <v>50</v>
      </c>
      <c r="I61" s="35">
        <f t="shared" si="19"/>
        <v>131.9968636759794</v>
      </c>
      <c r="J61" s="35" t="s">
        <v>50</v>
      </c>
      <c r="K61" s="35">
        <f t="shared" ref="K61:Q61" si="20">K52-K56+K58-K59+K60-K34</f>
        <v>150.80376111369611</v>
      </c>
      <c r="L61" s="35" t="s">
        <v>50</v>
      </c>
      <c r="M61" s="35">
        <f t="shared" si="20"/>
        <v>147.3737611136961</v>
      </c>
      <c r="N61" s="35" t="s">
        <v>50</v>
      </c>
      <c r="O61" s="35">
        <f t="shared" si="20"/>
        <v>137.78686367597939</v>
      </c>
      <c r="P61" s="35" t="s">
        <v>50</v>
      </c>
      <c r="Q61" s="35">
        <f t="shared" si="20"/>
        <v>134.65686367597939</v>
      </c>
    </row>
    <row r="62" spans="1:17" ht="15">
      <c r="A62" s="57" t="s">
        <v>46</v>
      </c>
      <c r="B62" s="35">
        <f t="shared" ref="B62:H62" si="21">B53-B57+B58-B59+B60-B34</f>
        <v>140.55376111369608</v>
      </c>
      <c r="C62" s="35" t="s">
        <v>50</v>
      </c>
      <c r="D62" s="35">
        <f t="shared" si="21"/>
        <v>141.83376111369608</v>
      </c>
      <c r="E62" s="35" t="s">
        <v>50</v>
      </c>
      <c r="F62" s="35">
        <f t="shared" si="21"/>
        <v>126.11139793761322</v>
      </c>
      <c r="G62" s="35" t="s">
        <v>50</v>
      </c>
      <c r="H62" s="35">
        <f t="shared" si="21"/>
        <v>124.92139793761322</v>
      </c>
      <c r="I62" s="35" t="s">
        <v>50</v>
      </c>
      <c r="J62" s="35">
        <f t="shared" ref="J62:P62" si="22">J53-J57+J58-J59+J60-J34</f>
        <v>144.9737611136961</v>
      </c>
      <c r="K62" s="35" t="s">
        <v>50</v>
      </c>
      <c r="L62" s="35">
        <f t="shared" si="22"/>
        <v>142.24376111369608</v>
      </c>
      <c r="M62" s="35" t="s">
        <v>50</v>
      </c>
      <c r="N62" s="35">
        <f t="shared" si="22"/>
        <v>131.21139793761324</v>
      </c>
      <c r="O62" s="35" t="s">
        <v>50</v>
      </c>
      <c r="P62" s="35">
        <f t="shared" si="22"/>
        <v>127.48139793761322</v>
      </c>
      <c r="Q62" s="35" t="s">
        <v>50</v>
      </c>
    </row>
    <row r="63" spans="1:17">
      <c r="A63" s="33" t="s">
        <v>41</v>
      </c>
      <c r="B63" s="50"/>
      <c r="C63" s="50"/>
      <c r="D63" s="50"/>
      <c r="E63" s="50"/>
      <c r="F63" s="50"/>
      <c r="G63" s="50"/>
      <c r="H63" s="50"/>
      <c r="I63" s="50"/>
      <c r="J63" s="50"/>
      <c r="K63" s="50"/>
      <c r="L63" s="50"/>
      <c r="M63" s="50"/>
      <c r="N63" s="50"/>
      <c r="O63" s="50"/>
      <c r="P63" s="50"/>
      <c r="Q63" s="50"/>
    </row>
    <row r="64" spans="1:17" ht="15">
      <c r="A64" s="58" t="s">
        <v>101</v>
      </c>
      <c r="B64" s="31" t="s">
        <v>50</v>
      </c>
      <c r="C64" s="52">
        <f>10^((C61-161.04+12+7.1*LOG10(20)-7.5*LOG10(5)+(24.37-3.7*(5/C$5)^2)*LOG10(C$5)-20*LOG10(C$4)+(3.2*(LOG10(11.75*C$6)^2)-4.97))/(43.42-3.1*LOG10(C$5))+3)</f>
        <v>10227.737805017665</v>
      </c>
      <c r="D64" s="31" t="s">
        <v>50</v>
      </c>
      <c r="E64" s="52">
        <f>10^((E61-161.04+12+7.1*LOG10(20)-7.5*LOG10(5)+(24.37-3.7*(5/E$5)^2)*LOG10(E$5)-20*LOG10(E$4)+(3.2*(LOG10(11.75*E$6)^2)-4.97))/(43.42-3.1*LOG10(E$5))+3)</f>
        <v>9297.4667279982641</v>
      </c>
      <c r="F64" s="31" t="s">
        <v>50</v>
      </c>
      <c r="G64" s="52">
        <f>10^((G61-161.04+12+7.1*LOG10(20)-7.5*LOG10(5)+(24.37-3.7*(5/G$5)^2)*LOG10(G$5)-20*LOG10(G$4)+(3.2*(LOG10(11.75*G$6)^2)-4.97))/(43.42-3.1*LOG10(G$5))+3)</f>
        <v>4869.9399935557531</v>
      </c>
      <c r="H64" s="31" t="s">
        <v>50</v>
      </c>
      <c r="I64" s="52">
        <f>10^((I61-161.04+12+7.1*LOG10(20)-7.5*LOG10(5)+(24.37-3.7*(5/I$5)^2)*LOG10(I$5)-20*LOG10(I$4)+(3.2*(LOG10(11.75*I$6)^2)-4.97))/(43.42-3.1*LOG10(I$5))+3)</f>
        <v>5169.0169430764226</v>
      </c>
      <c r="J64" s="31" t="s">
        <v>50</v>
      </c>
      <c r="K64" s="52">
        <f>10^((K61-161.04+12+7.1*LOG10(20)-7.5*LOG10(5)+(24.37-3.7*(5/K$5)^2)*LOG10(K$5)-20*LOG10(K$4)+(3.2*(LOG10(11.75*K$6)^2)-4.97))/(43.42-3.1*LOG10(K$5))+3)</f>
        <v>15856.677429283049</v>
      </c>
      <c r="L64" s="31" t="s">
        <v>50</v>
      </c>
      <c r="M64" s="52">
        <f>10^((M61-161.04+12+7.1*LOG10(20)-7.5*LOG10(5)+(24.37-3.7*(5/M$5)^2)*LOG10(M$5)-20*LOG10(M$4)+(3.2*(LOG10(11.75*M$6)^2)-4.97))/(43.42-3.1*LOG10(M$5))+3)</f>
        <v>12924.950412027771</v>
      </c>
      <c r="N64" s="31" t="s">
        <v>50</v>
      </c>
      <c r="O64" s="52">
        <f>10^((O61-161.04+12+7.1*LOG10(20)-7.5*LOG10(5)+(24.37-3.7*(5/O$5)^2)*LOG10(O$5)-20*LOG10(O$4)+(3.2*(LOG10(11.75*O$6)^2)-4.97))/(43.42-3.1*LOG10(O$5))+3)</f>
        <v>7299.2513289191475</v>
      </c>
      <c r="P64" s="31" t="s">
        <v>50</v>
      </c>
      <c r="Q64" s="52">
        <f>10^((Q61-161.04+12+7.1*LOG10(20)-7.5*LOG10(5)+(24.37-3.7*(5/Q$5)^2)*LOG10(Q$5)-20*LOG10(Q$4)+(3.2*(LOG10(11.75*Q$6)^2)-4.97))/(43.42-3.1*LOG10(Q$5))+3)</f>
        <v>6057.0382384919239</v>
      </c>
    </row>
    <row r="65" spans="1:17" ht="15">
      <c r="A65" s="58" t="s">
        <v>102</v>
      </c>
      <c r="B65" s="52">
        <f>10^((B62-161.04+12+7.1*LOG10(20)-7.5*LOG10(5)+(24.37-3.7*(5/B$5)^2)*LOG10(B$5)-20*LOG10(B$4)+(3.2*(LOG10(11.75*B$6)^2)-4.97))/(43.42-3.1*LOG10(B$5))+3)</f>
        <v>8607.9086116583239</v>
      </c>
      <c r="C65" s="31" t="s">
        <v>50</v>
      </c>
      <c r="D65" s="52">
        <f>10^((D62-161.04+12+7.1*LOG10(20)-7.5*LOG10(5)+(24.37-3.7*(5/D$5)^2)*LOG10(D$5)-20*LOG10(D$4)+(3.2*(LOG10(11.75*D$6)^2)-4.97))/(43.42-3.1*LOG10(D$5))+3)</f>
        <v>9290.2972564687152</v>
      </c>
      <c r="E65" s="31" t="s">
        <v>50</v>
      </c>
      <c r="F65" s="52">
        <f>10^((F62-161.04+12+7.1*LOG10(20)-7.5*LOG10(5)+(24.37-3.7*(5/F$5)^2)*LOG10(F$5)-20*LOG10(F$4)+(3.2*(LOG10(11.75*F$6)^2)-4.97))/(43.42-3.1*LOG10(F$5))+3)</f>
        <v>3639.7078524107083</v>
      </c>
      <c r="G65" s="31" t="s">
        <v>50</v>
      </c>
      <c r="H65" s="52">
        <f>10^((H62-161.04+12+7.1*LOG10(20)-7.5*LOG10(5)+(24.37-3.7*(5/H$5)^2)*LOG10(H$5)-20*LOG10(H$4)+(3.2*(LOG10(11.75*H$6)^2)-4.97))/(43.42-3.1*LOG10(H$5))+3)</f>
        <v>3390.5031655280332</v>
      </c>
      <c r="I65" s="31" t="s">
        <v>50</v>
      </c>
      <c r="J65" s="52">
        <f>10^((J62-161.04+12+7.1*LOG10(20)-7.5*LOG10(5)+(24.37-3.7*(5/J$5)^2)*LOG10(J$5)-20*LOG10(J$4)+(3.2*(LOG10(11.75*J$6)^2)-4.97))/(43.42-3.1*LOG10(J$5))+3)</f>
        <v>11202.280828767736</v>
      </c>
      <c r="K65" s="31" t="s">
        <v>50</v>
      </c>
      <c r="L65" s="52">
        <f>10^((L62-161.04+12+7.1*LOG10(20)-7.5*LOG10(5)+(24.37-3.7*(5/L$5)^2)*LOG10(L$5)-20*LOG10(L$4)+(3.2*(LOG10(11.75*L$6)^2)-4.97))/(43.42-3.1*LOG10(L$5))+3)</f>
        <v>9520.1149407078447</v>
      </c>
      <c r="M65" s="31" t="s">
        <v>50</v>
      </c>
      <c r="N65" s="52">
        <f>10^((N62-161.04+12+7.1*LOG10(20)-7.5*LOG10(5)+(24.37-3.7*(5/N$5)^2)*LOG10(N$5)-20*LOG10(N$4)+(3.2*(LOG10(11.75*N$6)^2)-4.97))/(43.42-3.1*LOG10(N$5))+3)</f>
        <v>4932.6089768285083</v>
      </c>
      <c r="O65" s="31" t="s">
        <v>50</v>
      </c>
      <c r="P65" s="52">
        <f>10^((P62-161.04+12+7.1*LOG10(20)-7.5*LOG10(5)+(24.37-3.7*(5/P$5)^2)*LOG10(P$5)-20*LOG10(P$4)+(3.2*(LOG10(11.75*P$6)^2)-4.97))/(43.42-3.1*LOG10(P$5))+3)</f>
        <v>3949.3723319156052</v>
      </c>
      <c r="Q65" s="31" t="s">
        <v>50</v>
      </c>
    </row>
    <row r="66" spans="1:17" ht="18">
      <c r="A66" s="58" t="s">
        <v>94</v>
      </c>
      <c r="B66" s="31" t="s">
        <v>50</v>
      </c>
      <c r="C66" s="31">
        <f>PI()*(C64)^2</f>
        <v>328631390.81953669</v>
      </c>
      <c r="D66" s="31" t="s">
        <v>50</v>
      </c>
      <c r="E66" s="31">
        <f>PI()*(E64)^2</f>
        <v>271568340.50803882</v>
      </c>
      <c r="F66" s="31" t="s">
        <v>50</v>
      </c>
      <c r="G66" s="31">
        <f>PI()*(G64)^2</f>
        <v>74507002.673300937</v>
      </c>
      <c r="H66" s="31" t="s">
        <v>50</v>
      </c>
      <c r="I66" s="31">
        <f>PI()*(I64)^2</f>
        <v>83939385.226583406</v>
      </c>
      <c r="J66" s="31" t="s">
        <v>50</v>
      </c>
      <c r="K66" s="31">
        <f>PI()*(K64)^2</f>
        <v>789903895.57413089</v>
      </c>
      <c r="L66" s="31" t="s">
        <v>50</v>
      </c>
      <c r="M66" s="31">
        <f>PI()*(M64)^2</f>
        <v>524816697.20091707</v>
      </c>
      <c r="N66" s="31" t="s">
        <v>50</v>
      </c>
      <c r="O66" s="31">
        <f>PI()*(O64)^2</f>
        <v>167381134.78500271</v>
      </c>
      <c r="P66" s="31" t="s">
        <v>50</v>
      </c>
      <c r="Q66" s="31">
        <f>PI()*(Q64)^2</f>
        <v>115257847.19539006</v>
      </c>
    </row>
    <row r="67" spans="1:17" ht="18">
      <c r="A67" s="58" t="s">
        <v>95</v>
      </c>
      <c r="B67" s="31">
        <f>PI()*(B65)^2</f>
        <v>232779734.0981071</v>
      </c>
      <c r="C67" s="31" t="s">
        <v>50</v>
      </c>
      <c r="D67" s="31">
        <f>PI()*(D65)^2</f>
        <v>271149677.90763295</v>
      </c>
      <c r="E67" s="31" t="s">
        <v>50</v>
      </c>
      <c r="F67" s="31">
        <f>PI()*(F65)^2</f>
        <v>41618164.64365527</v>
      </c>
      <c r="G67" s="31" t="s">
        <v>50</v>
      </c>
      <c r="H67" s="31">
        <f>PI()*(H65)^2</f>
        <v>36114215.154530756</v>
      </c>
      <c r="I67" s="31" t="s">
        <v>50</v>
      </c>
      <c r="J67" s="31">
        <f>PI()*(J65)^2</f>
        <v>394241904.55121195</v>
      </c>
      <c r="K67" s="31" t="s">
        <v>50</v>
      </c>
      <c r="L67" s="31">
        <f>PI()*(L65)^2</f>
        <v>284730674.15806836</v>
      </c>
      <c r="M67" s="31" t="s">
        <v>50</v>
      </c>
      <c r="N67" s="31">
        <f>PI()*(N65)^2</f>
        <v>76436932.606739044</v>
      </c>
      <c r="O67" s="31" t="s">
        <v>50</v>
      </c>
      <c r="P67" s="31">
        <f>PI()*(P65)^2</f>
        <v>49001122.783520944</v>
      </c>
      <c r="Q67" s="31" t="s">
        <v>50</v>
      </c>
    </row>
    <row r="69" spans="1:17">
      <c r="A69" s="59"/>
    </row>
  </sheetData>
  <mergeCells count="4">
    <mergeCell ref="B1:E1"/>
    <mergeCell ref="F1:I1"/>
    <mergeCell ref="J1:M1"/>
    <mergeCell ref="N1:Q1"/>
  </mergeCells>
  <dataValidations count="1">
    <dataValidation type="list" allowBlank="1" showInputMessage="1" showErrorMessage="1" sqref="F34:I34 B26:E26 N34:Q34 J26:M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70" zoomScaleNormal="70" workbookViewId="0">
      <pane xSplit="1" ySplit="2" topLeftCell="B3" activePane="bottomRight" state="frozen"/>
      <selection pane="topRight" activeCell="B1" sqref="B1"/>
      <selection pane="bottomLeft" activeCell="A3" sqref="A3"/>
      <selection pane="bottomRight" activeCell="B43" sqref="B43"/>
    </sheetView>
  </sheetViews>
  <sheetFormatPr defaultColWidth="8.875" defaultRowHeight="14.25"/>
  <cols>
    <col min="1" max="1" width="58.125" style="42" customWidth="1"/>
    <col min="2" max="3" width="16" style="38" customWidth="1"/>
    <col min="4" max="4" width="15.125" style="38" customWidth="1"/>
    <col min="5" max="5" width="14.875" style="38" customWidth="1"/>
    <col min="6" max="6" width="15" style="42" customWidth="1"/>
    <col min="7" max="7" width="14.5" style="42" customWidth="1"/>
    <col min="8" max="8" width="14.625" style="42" customWidth="1"/>
    <col min="9" max="9" width="13.625" style="42" customWidth="1"/>
    <col min="10" max="10" width="13" customWidth="1"/>
    <col min="11" max="11" width="14.625" customWidth="1"/>
    <col min="12" max="12" width="11.625" bestFit="1" customWidth="1"/>
    <col min="13" max="13" width="13.625" customWidth="1"/>
    <col min="14" max="16" width="11.625" bestFit="1" customWidth="1"/>
    <col min="17" max="17" width="11.125" customWidth="1"/>
  </cols>
  <sheetData>
    <row r="1" spans="1:17">
      <c r="A1" s="48" t="s">
        <v>0</v>
      </c>
      <c r="B1" s="139" t="s">
        <v>127</v>
      </c>
      <c r="C1" s="139"/>
      <c r="D1" s="139"/>
      <c r="E1" s="139"/>
      <c r="F1" s="139" t="s">
        <v>128</v>
      </c>
      <c r="G1" s="139"/>
      <c r="H1" s="139"/>
      <c r="I1" s="139"/>
      <c r="J1" s="139" t="s">
        <v>47</v>
      </c>
      <c r="K1" s="139"/>
      <c r="L1" s="139"/>
      <c r="M1" s="139"/>
      <c r="N1" s="139" t="s">
        <v>48</v>
      </c>
      <c r="O1" s="139"/>
      <c r="P1" s="139"/>
      <c r="Q1" s="139"/>
    </row>
    <row r="2" spans="1:17" ht="42.75">
      <c r="A2" s="49"/>
      <c r="B2" s="39" t="s">
        <v>232</v>
      </c>
      <c r="C2" s="39" t="s">
        <v>233</v>
      </c>
      <c r="D2" s="39" t="s">
        <v>234</v>
      </c>
      <c r="E2" s="39" t="s">
        <v>235</v>
      </c>
      <c r="F2" s="39" t="s">
        <v>236</v>
      </c>
      <c r="G2" s="39" t="s">
        <v>229</v>
      </c>
      <c r="H2" s="39" t="s">
        <v>237</v>
      </c>
      <c r="I2" s="39" t="s">
        <v>231</v>
      </c>
      <c r="J2" s="82" t="s">
        <v>238</v>
      </c>
      <c r="K2" s="82" t="s">
        <v>239</v>
      </c>
      <c r="L2" s="82" t="s">
        <v>240</v>
      </c>
      <c r="M2" s="82" t="s">
        <v>241</v>
      </c>
      <c r="N2" s="82" t="s">
        <v>242</v>
      </c>
      <c r="O2" s="82" t="s">
        <v>243</v>
      </c>
      <c r="P2" s="82" t="s">
        <v>244</v>
      </c>
      <c r="Q2" s="82" t="s">
        <v>245</v>
      </c>
    </row>
    <row r="3" spans="1:17">
      <c r="A3" s="33" t="s">
        <v>1</v>
      </c>
      <c r="B3" s="50"/>
      <c r="C3" s="50"/>
      <c r="D3" s="50"/>
      <c r="E3" s="50"/>
      <c r="F3" s="50"/>
      <c r="G3" s="50"/>
      <c r="H3" s="50"/>
      <c r="I3" s="50"/>
      <c r="J3" s="50"/>
      <c r="K3" s="50"/>
      <c r="L3" s="50"/>
      <c r="M3" s="50"/>
      <c r="N3" s="50"/>
      <c r="O3" s="50"/>
      <c r="P3" s="50"/>
      <c r="Q3" s="50"/>
    </row>
    <row r="4" spans="1:17" ht="15">
      <c r="A4" s="51" t="s">
        <v>2</v>
      </c>
      <c r="B4" s="32">
        <v>0.7</v>
      </c>
      <c r="C4" s="52">
        <v>0.7</v>
      </c>
      <c r="D4" s="32">
        <v>0.7</v>
      </c>
      <c r="E4" s="52">
        <v>0.7</v>
      </c>
      <c r="F4" s="32">
        <v>0.7</v>
      </c>
      <c r="G4" s="52">
        <v>0.7</v>
      </c>
      <c r="H4" s="32">
        <v>0.7</v>
      </c>
      <c r="I4" s="52">
        <v>0.7</v>
      </c>
      <c r="J4" s="32">
        <v>0.7</v>
      </c>
      <c r="K4" s="52">
        <v>0.7</v>
      </c>
      <c r="L4" s="32">
        <v>0.7</v>
      </c>
      <c r="M4" s="52">
        <v>0.7</v>
      </c>
      <c r="N4" s="32">
        <v>0.7</v>
      </c>
      <c r="O4" s="52">
        <v>0.7</v>
      </c>
      <c r="P4" s="32">
        <v>0.7</v>
      </c>
      <c r="Q4" s="52">
        <v>0.7</v>
      </c>
    </row>
    <row r="5" spans="1:17" ht="15">
      <c r="A5" s="51" t="s">
        <v>3</v>
      </c>
      <c r="B5" s="52">
        <v>35</v>
      </c>
      <c r="C5" s="52">
        <v>35</v>
      </c>
      <c r="D5" s="52">
        <v>35</v>
      </c>
      <c r="E5" s="52">
        <v>35</v>
      </c>
      <c r="F5" s="52">
        <v>35</v>
      </c>
      <c r="G5" s="52">
        <v>35</v>
      </c>
      <c r="H5" s="52">
        <v>35</v>
      </c>
      <c r="I5" s="52">
        <v>35</v>
      </c>
      <c r="J5" s="52">
        <v>35</v>
      </c>
      <c r="K5" s="52">
        <v>35</v>
      </c>
      <c r="L5" s="52">
        <v>35</v>
      </c>
      <c r="M5" s="52">
        <v>35</v>
      </c>
      <c r="N5" s="52">
        <v>35</v>
      </c>
      <c r="O5" s="52">
        <v>35</v>
      </c>
      <c r="P5" s="52">
        <v>35</v>
      </c>
      <c r="Q5" s="52">
        <v>35</v>
      </c>
    </row>
    <row r="6" spans="1:17" ht="15">
      <c r="A6" s="51" t="s">
        <v>4</v>
      </c>
      <c r="B6" s="32">
        <v>1.5</v>
      </c>
      <c r="C6" s="52">
        <v>1.5</v>
      </c>
      <c r="D6" s="32">
        <v>1.5</v>
      </c>
      <c r="E6" s="52">
        <v>1.5</v>
      </c>
      <c r="F6" s="32">
        <v>1.5</v>
      </c>
      <c r="G6" s="52">
        <v>1.5</v>
      </c>
      <c r="H6" s="32">
        <v>1.5</v>
      </c>
      <c r="I6" s="52">
        <v>1.5</v>
      </c>
      <c r="J6" s="32">
        <v>1.5</v>
      </c>
      <c r="K6" s="52">
        <v>1.5</v>
      </c>
      <c r="L6" s="32">
        <v>1.5</v>
      </c>
      <c r="M6" s="52">
        <v>1.5</v>
      </c>
      <c r="N6" s="32">
        <v>1.5</v>
      </c>
      <c r="O6" s="52">
        <v>1.5</v>
      </c>
      <c r="P6" s="32">
        <v>1.5</v>
      </c>
      <c r="Q6" s="52">
        <v>1.5</v>
      </c>
    </row>
    <row r="7" spans="1:17" ht="30">
      <c r="A7" s="51" t="s">
        <v>202</v>
      </c>
      <c r="B7" s="17" t="s">
        <v>129</v>
      </c>
      <c r="C7" s="46">
        <v>0.95</v>
      </c>
      <c r="D7" s="17" t="s">
        <v>129</v>
      </c>
      <c r="E7" s="46">
        <v>0.95</v>
      </c>
      <c r="F7" s="46" t="s">
        <v>129</v>
      </c>
      <c r="G7" s="18">
        <v>0.95</v>
      </c>
      <c r="H7" s="46" t="s">
        <v>129</v>
      </c>
      <c r="I7" s="18">
        <v>0.95</v>
      </c>
      <c r="J7" s="17" t="s">
        <v>50</v>
      </c>
      <c r="K7" s="46">
        <v>0.95</v>
      </c>
      <c r="L7" s="17" t="s">
        <v>50</v>
      </c>
      <c r="M7" s="46">
        <v>0.95</v>
      </c>
      <c r="N7" s="46" t="s">
        <v>50</v>
      </c>
      <c r="O7" s="18">
        <v>0.95</v>
      </c>
      <c r="P7" s="46" t="s">
        <v>50</v>
      </c>
      <c r="Q7" s="18">
        <v>0.95</v>
      </c>
    </row>
    <row r="8" spans="1:17" ht="30">
      <c r="A8" s="51" t="s">
        <v>203</v>
      </c>
      <c r="B8" s="17">
        <v>0.9</v>
      </c>
      <c r="C8" s="46" t="s">
        <v>129</v>
      </c>
      <c r="D8" s="17">
        <v>0.9</v>
      </c>
      <c r="E8" s="46" t="s">
        <v>129</v>
      </c>
      <c r="F8" s="46">
        <v>0.9</v>
      </c>
      <c r="G8" s="18" t="s">
        <v>129</v>
      </c>
      <c r="H8" s="46">
        <v>0.9</v>
      </c>
      <c r="I8" s="18" t="s">
        <v>129</v>
      </c>
      <c r="J8" s="17">
        <v>0.9</v>
      </c>
      <c r="K8" s="46" t="s">
        <v>50</v>
      </c>
      <c r="L8" s="17">
        <v>0.9</v>
      </c>
      <c r="M8" s="46" t="s">
        <v>50</v>
      </c>
      <c r="N8" s="46">
        <v>0.9</v>
      </c>
      <c r="O8" s="18" t="s">
        <v>50</v>
      </c>
      <c r="P8" s="46">
        <v>0.9</v>
      </c>
      <c r="Q8" s="18" t="s">
        <v>50</v>
      </c>
    </row>
    <row r="9" spans="1:17" ht="15">
      <c r="A9" s="51" t="s">
        <v>5</v>
      </c>
      <c r="B9" s="30" t="s">
        <v>129</v>
      </c>
      <c r="C9" s="31">
        <f>64/(0.001)</f>
        <v>64000</v>
      </c>
      <c r="D9" s="30" t="s">
        <v>129</v>
      </c>
      <c r="E9" s="31">
        <f>64/(0.001)</f>
        <v>64000</v>
      </c>
      <c r="F9" s="52" t="s">
        <v>129</v>
      </c>
      <c r="G9" s="31">
        <f>2/(0.5*0.001)</f>
        <v>4000</v>
      </c>
      <c r="H9" s="52" t="s">
        <v>129</v>
      </c>
      <c r="I9" s="31">
        <f>2/(0.5*0.001)</f>
        <v>4000</v>
      </c>
      <c r="J9" s="30" t="s">
        <v>50</v>
      </c>
      <c r="K9" s="31">
        <f>64/(0.001)</f>
        <v>64000</v>
      </c>
      <c r="L9" s="30" t="s">
        <v>50</v>
      </c>
      <c r="M9" s="31">
        <f>64/(0.001)</f>
        <v>64000</v>
      </c>
      <c r="N9" s="52" t="s">
        <v>50</v>
      </c>
      <c r="O9" s="31">
        <f>2/(0.5*0.001)</f>
        <v>4000</v>
      </c>
      <c r="P9" s="52" t="s">
        <v>50</v>
      </c>
      <c r="Q9" s="31">
        <f>2/(0.5*0.001)</f>
        <v>4000</v>
      </c>
    </row>
    <row r="10" spans="1:17" ht="15">
      <c r="A10" s="51" t="s">
        <v>6</v>
      </c>
      <c r="B10" s="30">
        <f>2248233*3</f>
        <v>6744699</v>
      </c>
      <c r="C10" s="52" t="s">
        <v>129</v>
      </c>
      <c r="D10" s="30">
        <f>2248233*3</f>
        <v>6744699</v>
      </c>
      <c r="E10" s="52" t="s">
        <v>129</v>
      </c>
      <c r="F10" s="52">
        <f>74880*3</f>
        <v>224640</v>
      </c>
      <c r="G10" s="31" t="s">
        <v>129</v>
      </c>
      <c r="H10" s="52">
        <f>74880*3</f>
        <v>224640</v>
      </c>
      <c r="I10" s="31" t="s">
        <v>129</v>
      </c>
      <c r="J10" s="30">
        <f>2248233*3</f>
        <v>6744699</v>
      </c>
      <c r="K10" s="52" t="s">
        <v>152</v>
      </c>
      <c r="L10" s="30">
        <f>2248233*3</f>
        <v>6744699</v>
      </c>
      <c r="M10" s="52" t="s">
        <v>152</v>
      </c>
      <c r="N10" s="52">
        <f>74880*3</f>
        <v>224640</v>
      </c>
      <c r="O10" s="31" t="s">
        <v>152</v>
      </c>
      <c r="P10" s="52">
        <f>74880*3</f>
        <v>224640</v>
      </c>
      <c r="Q10" s="31" t="s">
        <v>50</v>
      </c>
    </row>
    <row r="11" spans="1:17" ht="30">
      <c r="A11" s="51" t="s">
        <v>7</v>
      </c>
      <c r="B11" s="17" t="s">
        <v>129</v>
      </c>
      <c r="C11" s="46">
        <v>0.01</v>
      </c>
      <c r="D11" s="17" t="s">
        <v>129</v>
      </c>
      <c r="E11" s="46">
        <v>0.01</v>
      </c>
      <c r="F11" s="46" t="s">
        <v>129</v>
      </c>
      <c r="G11" s="18">
        <v>0.01</v>
      </c>
      <c r="H11" s="46" t="s">
        <v>129</v>
      </c>
      <c r="I11" s="18">
        <v>0.01</v>
      </c>
      <c r="J11" s="17" t="s">
        <v>50</v>
      </c>
      <c r="K11" s="46">
        <v>0.01</v>
      </c>
      <c r="L11" s="17" t="s">
        <v>152</v>
      </c>
      <c r="M11" s="46">
        <v>0.01</v>
      </c>
      <c r="N11" s="46" t="s">
        <v>152</v>
      </c>
      <c r="O11" s="18">
        <v>0.01</v>
      </c>
      <c r="P11" s="46" t="s">
        <v>152</v>
      </c>
      <c r="Q11" s="18">
        <v>0.01</v>
      </c>
    </row>
    <row r="12" spans="1:17" ht="30">
      <c r="A12" s="51" t="s">
        <v>8</v>
      </c>
      <c r="B12" s="17">
        <v>0.1</v>
      </c>
      <c r="C12" s="46" t="s">
        <v>129</v>
      </c>
      <c r="D12" s="17">
        <v>0.1</v>
      </c>
      <c r="E12" s="46" t="s">
        <v>129</v>
      </c>
      <c r="F12" s="46">
        <v>0.1</v>
      </c>
      <c r="G12" s="18" t="s">
        <v>129</v>
      </c>
      <c r="H12" s="46">
        <v>0.1</v>
      </c>
      <c r="I12" s="18" t="s">
        <v>129</v>
      </c>
      <c r="J12" s="17">
        <v>0.1</v>
      </c>
      <c r="K12" s="46" t="s">
        <v>152</v>
      </c>
      <c r="L12" s="17">
        <v>0.1</v>
      </c>
      <c r="M12" s="46" t="s">
        <v>152</v>
      </c>
      <c r="N12" s="46">
        <v>0.1</v>
      </c>
      <c r="O12" s="18" t="s">
        <v>152</v>
      </c>
      <c r="P12" s="46">
        <v>0.1</v>
      </c>
      <c r="Q12" s="18" t="s">
        <v>152</v>
      </c>
    </row>
    <row r="13" spans="1:17" ht="16.5">
      <c r="A13" s="51" t="s">
        <v>91</v>
      </c>
      <c r="B13" s="30">
        <f>B10/(B42*(4+2*11/14+1/14)/10)</f>
        <v>0.65101476793248958</v>
      </c>
      <c r="C13" s="52" t="s">
        <v>129</v>
      </c>
      <c r="D13" s="30">
        <f>D10/(D42*(4+2*11/14+1/14)/10)</f>
        <v>0.65101476793248958</v>
      </c>
      <c r="E13" s="52" t="s">
        <v>129</v>
      </c>
      <c r="F13" s="30">
        <f>F10/(F42*(4+2*2/14+1/14)/10)</f>
        <v>0.35803278688524592</v>
      </c>
      <c r="G13" s="31" t="s">
        <v>129</v>
      </c>
      <c r="H13" s="30">
        <f>H10/(H42*(4+2*2/14+1/14)/10)</f>
        <v>0.35803278688524592</v>
      </c>
      <c r="I13" s="31" t="s">
        <v>129</v>
      </c>
      <c r="J13" s="30">
        <f>J10/(J42*(4+2*11/14+1/14)/10)</f>
        <v>0.65101476793248958</v>
      </c>
      <c r="K13" s="52" t="s">
        <v>152</v>
      </c>
      <c r="L13" s="30">
        <f>L10/(L42*(4+2*11/14+1/14)/10)</f>
        <v>0.65101476793248958</v>
      </c>
      <c r="M13" s="52" t="s">
        <v>152</v>
      </c>
      <c r="N13" s="30">
        <f>N10/(N42*(4+2*2/14+1/14)/10)</f>
        <v>0.35803278688524592</v>
      </c>
      <c r="O13" s="31" t="s">
        <v>152</v>
      </c>
      <c r="P13" s="30">
        <f>P10/(P42*(4+2*2/14+1/14)/10)</f>
        <v>0.35803278688524592</v>
      </c>
      <c r="Q13" s="31" t="s">
        <v>152</v>
      </c>
    </row>
    <row r="14" spans="1:17" ht="16.5">
      <c r="A14" s="51" t="s">
        <v>92</v>
      </c>
      <c r="B14" s="52" t="s">
        <v>130</v>
      </c>
      <c r="C14" s="52" t="s">
        <v>130</v>
      </c>
      <c r="D14" s="52" t="s">
        <v>131</v>
      </c>
      <c r="E14" s="52" t="s">
        <v>131</v>
      </c>
      <c r="F14" s="52" t="s">
        <v>130</v>
      </c>
      <c r="G14" s="52" t="s">
        <v>130</v>
      </c>
      <c r="H14" s="52" t="s">
        <v>131</v>
      </c>
      <c r="I14" s="52" t="s">
        <v>131</v>
      </c>
      <c r="J14" s="52" t="s">
        <v>159</v>
      </c>
      <c r="K14" s="52" t="s">
        <v>159</v>
      </c>
      <c r="L14" s="52" t="s">
        <v>160</v>
      </c>
      <c r="M14" s="52" t="s">
        <v>160</v>
      </c>
      <c r="N14" s="52" t="s">
        <v>159</v>
      </c>
      <c r="O14" s="52" t="s">
        <v>159</v>
      </c>
      <c r="P14" s="52" t="s">
        <v>160</v>
      </c>
      <c r="Q14" s="52" t="s">
        <v>160</v>
      </c>
    </row>
    <row r="15" spans="1:17" ht="15">
      <c r="A15" s="51" t="s">
        <v>132</v>
      </c>
      <c r="B15" s="30">
        <v>120</v>
      </c>
      <c r="C15" s="31">
        <v>120</v>
      </c>
      <c r="D15" s="30">
        <v>3</v>
      </c>
      <c r="E15" s="31">
        <v>3</v>
      </c>
      <c r="F15" s="30">
        <v>120</v>
      </c>
      <c r="G15" s="31">
        <v>120</v>
      </c>
      <c r="H15" s="31">
        <v>3</v>
      </c>
      <c r="I15" s="31">
        <v>3</v>
      </c>
      <c r="J15" s="30">
        <v>120</v>
      </c>
      <c r="K15" s="31">
        <v>120</v>
      </c>
      <c r="L15" s="30">
        <v>3</v>
      </c>
      <c r="M15" s="31">
        <v>3</v>
      </c>
      <c r="N15" s="30">
        <v>120</v>
      </c>
      <c r="O15" s="31">
        <v>120</v>
      </c>
      <c r="P15" s="31">
        <v>3</v>
      </c>
      <c r="Q15" s="31">
        <v>3</v>
      </c>
    </row>
    <row r="16" spans="1:17" ht="15">
      <c r="A16" s="51" t="s">
        <v>9</v>
      </c>
      <c r="B16" s="30">
        <v>3</v>
      </c>
      <c r="C16" s="52">
        <v>3</v>
      </c>
      <c r="D16" s="30">
        <v>3</v>
      </c>
      <c r="E16" s="52">
        <v>3</v>
      </c>
      <c r="F16" s="52">
        <v>3</v>
      </c>
      <c r="G16" s="31">
        <v>3</v>
      </c>
      <c r="H16" s="52">
        <v>3</v>
      </c>
      <c r="I16" s="31">
        <v>3</v>
      </c>
      <c r="J16" s="30">
        <v>3</v>
      </c>
      <c r="K16" s="52">
        <v>3</v>
      </c>
      <c r="L16" s="30">
        <v>3</v>
      </c>
      <c r="M16" s="52">
        <v>3</v>
      </c>
      <c r="N16" s="52">
        <v>3</v>
      </c>
      <c r="O16" s="31">
        <v>3</v>
      </c>
      <c r="P16" s="52">
        <v>3</v>
      </c>
      <c r="Q16" s="31">
        <v>3</v>
      </c>
    </row>
    <row r="17" spans="1:17">
      <c r="A17" s="33" t="s">
        <v>10</v>
      </c>
      <c r="B17" s="50"/>
      <c r="C17" s="50"/>
      <c r="D17" s="50"/>
      <c r="E17" s="50"/>
      <c r="F17" s="50"/>
      <c r="G17" s="50"/>
      <c r="H17" s="50"/>
      <c r="I17" s="50"/>
      <c r="J17" s="50"/>
      <c r="K17" s="50"/>
      <c r="L17" s="50"/>
      <c r="M17" s="50"/>
      <c r="N17" s="50"/>
      <c r="O17" s="50"/>
      <c r="P17" s="50"/>
      <c r="Q17" s="50"/>
    </row>
    <row r="18" spans="1:17" ht="30">
      <c r="A18" s="51" t="s">
        <v>133</v>
      </c>
      <c r="B18" s="30">
        <v>64</v>
      </c>
      <c r="C18" s="52">
        <v>64</v>
      </c>
      <c r="D18" s="30">
        <v>64</v>
      </c>
      <c r="E18" s="52">
        <v>64</v>
      </c>
      <c r="F18" s="31">
        <v>1</v>
      </c>
      <c r="G18" s="52">
        <v>1</v>
      </c>
      <c r="H18" s="31">
        <v>1</v>
      </c>
      <c r="I18" s="52">
        <v>1</v>
      </c>
      <c r="J18" s="30">
        <v>64</v>
      </c>
      <c r="K18" s="52">
        <v>64</v>
      </c>
      <c r="L18" s="30">
        <v>64</v>
      </c>
      <c r="M18" s="52">
        <v>64</v>
      </c>
      <c r="N18" s="31">
        <v>1</v>
      </c>
      <c r="O18" s="52">
        <v>1</v>
      </c>
      <c r="P18" s="31">
        <v>1</v>
      </c>
      <c r="Q18" s="52">
        <v>1</v>
      </c>
    </row>
    <row r="19" spans="1:17" ht="15">
      <c r="A19" s="51" t="s">
        <v>146</v>
      </c>
      <c r="B19" s="30">
        <v>2</v>
      </c>
      <c r="C19" s="52">
        <v>2</v>
      </c>
      <c r="D19" s="30">
        <v>2</v>
      </c>
      <c r="E19" s="52">
        <v>2</v>
      </c>
      <c r="F19" s="31">
        <v>1</v>
      </c>
      <c r="G19" s="52">
        <v>1</v>
      </c>
      <c r="H19" s="31">
        <v>1</v>
      </c>
      <c r="I19" s="52">
        <v>1</v>
      </c>
      <c r="J19" s="30">
        <v>2</v>
      </c>
      <c r="K19" s="52">
        <v>2</v>
      </c>
      <c r="L19" s="30">
        <v>2</v>
      </c>
      <c r="M19" s="52">
        <v>2</v>
      </c>
      <c r="N19" s="31">
        <v>1</v>
      </c>
      <c r="O19" s="52">
        <v>1</v>
      </c>
      <c r="P19" s="31">
        <v>1</v>
      </c>
      <c r="Q19" s="52">
        <v>1</v>
      </c>
    </row>
    <row r="20" spans="1:17" ht="15">
      <c r="A20" s="51" t="s">
        <v>11</v>
      </c>
      <c r="B20" s="30">
        <v>31</v>
      </c>
      <c r="C20" s="52">
        <v>31</v>
      </c>
      <c r="D20" s="30">
        <v>31</v>
      </c>
      <c r="E20" s="52">
        <v>31</v>
      </c>
      <c r="F20" s="31">
        <v>23</v>
      </c>
      <c r="G20" s="52">
        <v>23</v>
      </c>
      <c r="H20" s="31">
        <v>23</v>
      </c>
      <c r="I20" s="52">
        <v>23</v>
      </c>
      <c r="J20" s="30">
        <v>31</v>
      </c>
      <c r="K20" s="52">
        <v>31</v>
      </c>
      <c r="L20" s="30">
        <v>31</v>
      </c>
      <c r="M20" s="52">
        <v>31</v>
      </c>
      <c r="N20" s="31">
        <v>23</v>
      </c>
      <c r="O20" s="52">
        <v>23</v>
      </c>
      <c r="P20" s="31">
        <v>23</v>
      </c>
      <c r="Q20" s="52">
        <v>23</v>
      </c>
    </row>
    <row r="21" spans="1:17" ht="30">
      <c r="A21" s="53" t="s">
        <v>134</v>
      </c>
      <c r="B21" s="36">
        <f t="shared" ref="B21:Q21" si="0">B20+10*LOG10(B18)</f>
        <v>49.061799739838875</v>
      </c>
      <c r="C21" s="36">
        <f t="shared" si="0"/>
        <v>49.061799739838875</v>
      </c>
      <c r="D21" s="36">
        <f t="shared" si="0"/>
        <v>49.061799739838875</v>
      </c>
      <c r="E21" s="36">
        <f t="shared" si="0"/>
        <v>49.061799739838875</v>
      </c>
      <c r="F21" s="36">
        <f t="shared" si="0"/>
        <v>23</v>
      </c>
      <c r="G21" s="36">
        <f t="shared" si="0"/>
        <v>23</v>
      </c>
      <c r="H21" s="36">
        <f t="shared" si="0"/>
        <v>23</v>
      </c>
      <c r="I21" s="36">
        <f t="shared" si="0"/>
        <v>23</v>
      </c>
      <c r="J21" s="36">
        <f t="shared" si="0"/>
        <v>49.061799739838875</v>
      </c>
      <c r="K21" s="36">
        <f t="shared" si="0"/>
        <v>49.061799739838875</v>
      </c>
      <c r="L21" s="36">
        <f t="shared" si="0"/>
        <v>49.061799739838875</v>
      </c>
      <c r="M21" s="36">
        <f t="shared" si="0"/>
        <v>49.061799739838875</v>
      </c>
      <c r="N21" s="36">
        <f t="shared" si="0"/>
        <v>23</v>
      </c>
      <c r="O21" s="36">
        <f t="shared" si="0"/>
        <v>23</v>
      </c>
      <c r="P21" s="36">
        <f t="shared" si="0"/>
        <v>23</v>
      </c>
      <c r="Q21" s="36">
        <f t="shared" si="0"/>
        <v>23</v>
      </c>
    </row>
    <row r="22" spans="1:17" ht="15">
      <c r="A22" s="51" t="s">
        <v>12</v>
      </c>
      <c r="B22" s="30">
        <v>8</v>
      </c>
      <c r="C22" s="52">
        <v>8</v>
      </c>
      <c r="D22" s="30">
        <v>8</v>
      </c>
      <c r="E22" s="52">
        <v>8</v>
      </c>
      <c r="F22" s="31">
        <v>0</v>
      </c>
      <c r="G22" s="52">
        <v>0</v>
      </c>
      <c r="H22" s="31">
        <v>0</v>
      </c>
      <c r="I22" s="52">
        <v>0</v>
      </c>
      <c r="J22" s="30">
        <v>8</v>
      </c>
      <c r="K22" s="52">
        <v>8</v>
      </c>
      <c r="L22" s="30">
        <v>8</v>
      </c>
      <c r="M22" s="52">
        <v>8</v>
      </c>
      <c r="N22" s="31">
        <v>0</v>
      </c>
      <c r="O22" s="52">
        <v>0</v>
      </c>
      <c r="P22" s="31">
        <v>0</v>
      </c>
      <c r="Q22" s="52">
        <v>0</v>
      </c>
    </row>
    <row r="23" spans="1:17" ht="45">
      <c r="A23" s="54" t="s">
        <v>13</v>
      </c>
      <c r="B23" s="36">
        <f t="shared" ref="B23:Q23" si="1">IF(B18&gt;=2, 10*LOG10(B18/2), 0)</f>
        <v>15.051499783199061</v>
      </c>
      <c r="C23" s="36">
        <f t="shared" si="1"/>
        <v>15.051499783199061</v>
      </c>
      <c r="D23" s="36">
        <f t="shared" si="1"/>
        <v>15.051499783199061</v>
      </c>
      <c r="E23" s="36">
        <f t="shared" si="1"/>
        <v>15.051499783199061</v>
      </c>
      <c r="F23" s="36">
        <f t="shared" si="1"/>
        <v>0</v>
      </c>
      <c r="G23" s="36">
        <f t="shared" si="1"/>
        <v>0</v>
      </c>
      <c r="H23" s="36">
        <f t="shared" si="1"/>
        <v>0</v>
      </c>
      <c r="I23" s="36">
        <f t="shared" si="1"/>
        <v>0</v>
      </c>
      <c r="J23" s="36">
        <f t="shared" si="1"/>
        <v>15.051499783199061</v>
      </c>
      <c r="K23" s="36">
        <f t="shared" si="1"/>
        <v>15.051499783199061</v>
      </c>
      <c r="L23" s="36">
        <f t="shared" si="1"/>
        <v>15.051499783199061</v>
      </c>
      <c r="M23" s="36">
        <f t="shared" si="1"/>
        <v>15.051499783199061</v>
      </c>
      <c r="N23" s="36">
        <f t="shared" si="1"/>
        <v>0</v>
      </c>
      <c r="O23" s="36">
        <f t="shared" si="1"/>
        <v>0</v>
      </c>
      <c r="P23" s="36">
        <f t="shared" si="1"/>
        <v>0</v>
      </c>
      <c r="Q23" s="36">
        <f t="shared" si="1"/>
        <v>0</v>
      </c>
    </row>
    <row r="24" spans="1:17" ht="15">
      <c r="A24" s="51" t="s">
        <v>14</v>
      </c>
      <c r="B24" s="30">
        <v>0</v>
      </c>
      <c r="C24" s="31">
        <v>0</v>
      </c>
      <c r="D24" s="30">
        <v>0</v>
      </c>
      <c r="E24" s="31">
        <v>0</v>
      </c>
      <c r="F24" s="31">
        <v>0</v>
      </c>
      <c r="G24" s="31">
        <v>0</v>
      </c>
      <c r="H24" s="31">
        <v>0</v>
      </c>
      <c r="I24" s="31">
        <v>0</v>
      </c>
      <c r="J24" s="30">
        <v>0</v>
      </c>
      <c r="K24" s="31">
        <v>0</v>
      </c>
      <c r="L24" s="30">
        <v>0</v>
      </c>
      <c r="M24" s="31">
        <v>0</v>
      </c>
      <c r="N24" s="31">
        <v>0</v>
      </c>
      <c r="O24" s="31">
        <v>0</v>
      </c>
      <c r="P24" s="31">
        <v>0</v>
      </c>
      <c r="Q24" s="31">
        <v>0</v>
      </c>
    </row>
    <row r="25" spans="1:17" ht="15">
      <c r="A25" s="51" t="s">
        <v>15</v>
      </c>
      <c r="B25" s="30">
        <v>0</v>
      </c>
      <c r="C25" s="31">
        <v>0</v>
      </c>
      <c r="D25" s="30">
        <v>0</v>
      </c>
      <c r="E25" s="31">
        <v>0</v>
      </c>
      <c r="F25" s="31">
        <v>0</v>
      </c>
      <c r="G25" s="31">
        <v>0</v>
      </c>
      <c r="H25" s="31">
        <v>0</v>
      </c>
      <c r="I25" s="31">
        <v>0</v>
      </c>
      <c r="J25" s="30">
        <v>0</v>
      </c>
      <c r="K25" s="31">
        <v>0</v>
      </c>
      <c r="L25" s="30">
        <v>0</v>
      </c>
      <c r="M25" s="31">
        <v>0</v>
      </c>
      <c r="N25" s="31">
        <v>0</v>
      </c>
      <c r="O25" s="31">
        <v>0</v>
      </c>
      <c r="P25" s="31">
        <v>0</v>
      </c>
      <c r="Q25" s="31">
        <v>0</v>
      </c>
    </row>
    <row r="26" spans="1:17" ht="30">
      <c r="A26" s="77" t="s">
        <v>16</v>
      </c>
      <c r="B26" s="30">
        <v>3</v>
      </c>
      <c r="C26" s="30">
        <v>3</v>
      </c>
      <c r="D26" s="30">
        <v>3</v>
      </c>
      <c r="E26" s="30">
        <v>3</v>
      </c>
      <c r="F26" s="30">
        <v>1</v>
      </c>
      <c r="G26" s="30">
        <v>1</v>
      </c>
      <c r="H26" s="30">
        <v>1</v>
      </c>
      <c r="I26" s="30">
        <v>1</v>
      </c>
      <c r="J26" s="30">
        <v>3</v>
      </c>
      <c r="K26" s="30">
        <v>3</v>
      </c>
      <c r="L26" s="30">
        <v>3</v>
      </c>
      <c r="M26" s="30">
        <v>3</v>
      </c>
      <c r="N26" s="30">
        <v>1</v>
      </c>
      <c r="O26" s="30">
        <v>1</v>
      </c>
      <c r="P26" s="30">
        <v>1</v>
      </c>
      <c r="Q26" s="30">
        <v>1</v>
      </c>
    </row>
    <row r="27" spans="1:17" ht="15">
      <c r="A27" s="55" t="s">
        <v>17</v>
      </c>
      <c r="B27" s="35">
        <f t="shared" ref="B27:Q27" si="2">B21+B22+B23+B24-B26</f>
        <v>69.113299523037938</v>
      </c>
      <c r="C27" s="35">
        <f t="shared" si="2"/>
        <v>69.113299523037938</v>
      </c>
      <c r="D27" s="35">
        <f t="shared" si="2"/>
        <v>69.113299523037938</v>
      </c>
      <c r="E27" s="35">
        <f t="shared" si="2"/>
        <v>69.113299523037938</v>
      </c>
      <c r="F27" s="35">
        <f t="shared" si="2"/>
        <v>22</v>
      </c>
      <c r="G27" s="35">
        <f t="shared" si="2"/>
        <v>22</v>
      </c>
      <c r="H27" s="35">
        <f t="shared" si="2"/>
        <v>22</v>
      </c>
      <c r="I27" s="35">
        <f t="shared" si="2"/>
        <v>22</v>
      </c>
      <c r="J27" s="35">
        <f t="shared" si="2"/>
        <v>69.113299523037938</v>
      </c>
      <c r="K27" s="35">
        <f t="shared" si="2"/>
        <v>69.113299523037938</v>
      </c>
      <c r="L27" s="35">
        <f t="shared" si="2"/>
        <v>69.113299523037938</v>
      </c>
      <c r="M27" s="35">
        <f t="shared" si="2"/>
        <v>69.113299523037938</v>
      </c>
      <c r="N27" s="35">
        <f t="shared" si="2"/>
        <v>22</v>
      </c>
      <c r="O27" s="35">
        <f t="shared" si="2"/>
        <v>22</v>
      </c>
      <c r="P27" s="35">
        <f t="shared" si="2"/>
        <v>22</v>
      </c>
      <c r="Q27" s="35">
        <f t="shared" si="2"/>
        <v>22</v>
      </c>
    </row>
    <row r="28" spans="1:17" ht="15">
      <c r="A28" s="55" t="s">
        <v>18</v>
      </c>
      <c r="B28" s="35">
        <f t="shared" ref="B28:Q28" si="3">B21+B22+B23-B25-B26</f>
        <v>69.113299523037938</v>
      </c>
      <c r="C28" s="35">
        <f t="shared" si="3"/>
        <v>69.113299523037938</v>
      </c>
      <c r="D28" s="35">
        <f t="shared" si="3"/>
        <v>69.113299523037938</v>
      </c>
      <c r="E28" s="35">
        <f t="shared" si="3"/>
        <v>69.113299523037938</v>
      </c>
      <c r="F28" s="35">
        <f t="shared" si="3"/>
        <v>22</v>
      </c>
      <c r="G28" s="35">
        <f t="shared" si="3"/>
        <v>22</v>
      </c>
      <c r="H28" s="35">
        <f t="shared" si="3"/>
        <v>22</v>
      </c>
      <c r="I28" s="35">
        <f t="shared" si="3"/>
        <v>22</v>
      </c>
      <c r="J28" s="35">
        <f t="shared" si="3"/>
        <v>69.113299523037938</v>
      </c>
      <c r="K28" s="35">
        <f t="shared" si="3"/>
        <v>69.113299523037938</v>
      </c>
      <c r="L28" s="35">
        <f t="shared" si="3"/>
        <v>69.113299523037938</v>
      </c>
      <c r="M28" s="35">
        <f t="shared" si="3"/>
        <v>69.113299523037938</v>
      </c>
      <c r="N28" s="35">
        <f t="shared" si="3"/>
        <v>22</v>
      </c>
      <c r="O28" s="35">
        <f t="shared" si="3"/>
        <v>22</v>
      </c>
      <c r="P28" s="35">
        <f t="shared" si="3"/>
        <v>22</v>
      </c>
      <c r="Q28" s="35">
        <f t="shared" si="3"/>
        <v>22</v>
      </c>
    </row>
    <row r="29" spans="1:17">
      <c r="A29" s="33" t="s">
        <v>19</v>
      </c>
      <c r="B29" s="50"/>
      <c r="C29" s="50"/>
      <c r="D29" s="50"/>
      <c r="E29" s="50"/>
      <c r="F29" s="50"/>
      <c r="G29" s="50"/>
      <c r="H29" s="50"/>
      <c r="I29" s="50"/>
      <c r="J29" s="50"/>
      <c r="K29" s="50"/>
      <c r="L29" s="50"/>
      <c r="M29" s="50"/>
      <c r="N29" s="50"/>
      <c r="O29" s="50"/>
      <c r="P29" s="50"/>
      <c r="Q29" s="50"/>
    </row>
    <row r="30" spans="1:17" ht="30">
      <c r="A30" s="51" t="s">
        <v>135</v>
      </c>
      <c r="B30" s="30">
        <v>2</v>
      </c>
      <c r="C30" s="52">
        <v>2</v>
      </c>
      <c r="D30" s="30">
        <v>2</v>
      </c>
      <c r="E30" s="52">
        <v>2</v>
      </c>
      <c r="F30" s="52">
        <v>64</v>
      </c>
      <c r="G30" s="52">
        <v>64</v>
      </c>
      <c r="H30" s="52">
        <v>64</v>
      </c>
      <c r="I30" s="52">
        <v>64</v>
      </c>
      <c r="J30" s="30">
        <v>2</v>
      </c>
      <c r="K30" s="52">
        <v>2</v>
      </c>
      <c r="L30" s="30">
        <v>2</v>
      </c>
      <c r="M30" s="52">
        <v>2</v>
      </c>
      <c r="N30" s="52">
        <v>64</v>
      </c>
      <c r="O30" s="52">
        <v>64</v>
      </c>
      <c r="P30" s="52">
        <v>64</v>
      </c>
      <c r="Q30" s="52">
        <v>64</v>
      </c>
    </row>
    <row r="31" spans="1:17" ht="15">
      <c r="A31" s="51" t="s">
        <v>140</v>
      </c>
      <c r="B31" s="30">
        <v>2</v>
      </c>
      <c r="C31" s="52">
        <v>2</v>
      </c>
      <c r="D31" s="30">
        <v>2</v>
      </c>
      <c r="E31" s="52">
        <v>2</v>
      </c>
      <c r="F31" s="52">
        <v>2</v>
      </c>
      <c r="G31" s="52">
        <v>2</v>
      </c>
      <c r="H31" s="52">
        <v>2</v>
      </c>
      <c r="I31" s="52">
        <v>2</v>
      </c>
      <c r="J31" s="30">
        <v>2</v>
      </c>
      <c r="K31" s="52">
        <v>2</v>
      </c>
      <c r="L31" s="30">
        <v>2</v>
      </c>
      <c r="M31" s="52">
        <v>2</v>
      </c>
      <c r="N31" s="52">
        <v>2</v>
      </c>
      <c r="O31" s="52">
        <v>2</v>
      </c>
      <c r="P31" s="52">
        <v>2</v>
      </c>
      <c r="Q31" s="52">
        <v>2</v>
      </c>
    </row>
    <row r="32" spans="1:17" ht="15">
      <c r="A32" s="51" t="s">
        <v>20</v>
      </c>
      <c r="B32" s="30">
        <v>0</v>
      </c>
      <c r="C32" s="52">
        <v>0</v>
      </c>
      <c r="D32" s="30">
        <v>0</v>
      </c>
      <c r="E32" s="52">
        <v>0</v>
      </c>
      <c r="F32" s="52">
        <v>8</v>
      </c>
      <c r="G32" s="52">
        <v>8</v>
      </c>
      <c r="H32" s="52">
        <v>8</v>
      </c>
      <c r="I32" s="52">
        <v>8</v>
      </c>
      <c r="J32" s="30">
        <v>0</v>
      </c>
      <c r="K32" s="52">
        <v>0</v>
      </c>
      <c r="L32" s="30">
        <v>0</v>
      </c>
      <c r="M32" s="52">
        <v>0</v>
      </c>
      <c r="N32" s="52">
        <v>8</v>
      </c>
      <c r="O32" s="52">
        <v>8</v>
      </c>
      <c r="P32" s="52">
        <v>8</v>
      </c>
      <c r="Q32" s="52">
        <v>8</v>
      </c>
    </row>
    <row r="33" spans="1:17" ht="42.75">
      <c r="A33" s="56" t="s">
        <v>144</v>
      </c>
      <c r="B33" s="36">
        <f t="shared" ref="B33:Q33" si="4">IF(B30&gt;=2, 10*LOG10(B30/2), 0)</f>
        <v>0</v>
      </c>
      <c r="C33" s="36">
        <f t="shared" si="4"/>
        <v>0</v>
      </c>
      <c r="D33" s="36">
        <f t="shared" si="4"/>
        <v>0</v>
      </c>
      <c r="E33" s="36">
        <f t="shared" si="4"/>
        <v>0</v>
      </c>
      <c r="F33" s="36">
        <f t="shared" si="4"/>
        <v>15.051499783199061</v>
      </c>
      <c r="G33" s="36">
        <f t="shared" si="4"/>
        <v>15.051499783199061</v>
      </c>
      <c r="H33" s="36">
        <f t="shared" si="4"/>
        <v>15.051499783199061</v>
      </c>
      <c r="I33" s="36">
        <f t="shared" si="4"/>
        <v>15.051499783199061</v>
      </c>
      <c r="J33" s="36">
        <f t="shared" si="4"/>
        <v>0</v>
      </c>
      <c r="K33" s="36">
        <f t="shared" si="4"/>
        <v>0</v>
      </c>
      <c r="L33" s="36">
        <f t="shared" si="4"/>
        <v>0</v>
      </c>
      <c r="M33" s="36">
        <f t="shared" si="4"/>
        <v>0</v>
      </c>
      <c r="N33" s="36">
        <f t="shared" si="4"/>
        <v>15.051499783199061</v>
      </c>
      <c r="O33" s="36">
        <f t="shared" si="4"/>
        <v>15.051499783199061</v>
      </c>
      <c r="P33" s="36">
        <f t="shared" si="4"/>
        <v>15.051499783199061</v>
      </c>
      <c r="Q33" s="36">
        <f t="shared" si="4"/>
        <v>15.051499783199061</v>
      </c>
    </row>
    <row r="34" spans="1:17" ht="30">
      <c r="A34" s="77" t="s">
        <v>21</v>
      </c>
      <c r="B34" s="30">
        <v>1</v>
      </c>
      <c r="C34" s="32">
        <v>1</v>
      </c>
      <c r="D34" s="30">
        <v>1</v>
      </c>
      <c r="E34" s="32">
        <v>1</v>
      </c>
      <c r="F34" s="30">
        <v>3</v>
      </c>
      <c r="G34" s="30">
        <v>3</v>
      </c>
      <c r="H34" s="30">
        <v>3</v>
      </c>
      <c r="I34" s="30">
        <v>3</v>
      </c>
      <c r="J34" s="30">
        <v>1</v>
      </c>
      <c r="K34" s="32">
        <v>1</v>
      </c>
      <c r="L34" s="30">
        <v>1</v>
      </c>
      <c r="M34" s="32">
        <v>1</v>
      </c>
      <c r="N34" s="30">
        <v>3</v>
      </c>
      <c r="O34" s="30">
        <v>3</v>
      </c>
      <c r="P34" s="30">
        <v>3</v>
      </c>
      <c r="Q34" s="30">
        <v>3</v>
      </c>
    </row>
    <row r="35" spans="1:17" ht="15">
      <c r="A35" s="51" t="s">
        <v>22</v>
      </c>
      <c r="B35" s="31">
        <v>7</v>
      </c>
      <c r="C35" s="31">
        <v>7</v>
      </c>
      <c r="D35" s="31">
        <v>7</v>
      </c>
      <c r="E35" s="31">
        <v>7</v>
      </c>
      <c r="F35" s="31">
        <v>5</v>
      </c>
      <c r="G35" s="31">
        <v>5</v>
      </c>
      <c r="H35" s="31">
        <v>5</v>
      </c>
      <c r="I35" s="31">
        <v>5</v>
      </c>
      <c r="J35" s="31">
        <v>7</v>
      </c>
      <c r="K35" s="31">
        <v>7</v>
      </c>
      <c r="L35" s="31">
        <v>7</v>
      </c>
      <c r="M35" s="31">
        <v>7</v>
      </c>
      <c r="N35" s="31">
        <v>5</v>
      </c>
      <c r="O35" s="31">
        <v>5</v>
      </c>
      <c r="P35" s="31">
        <v>5</v>
      </c>
      <c r="Q35" s="31">
        <v>5</v>
      </c>
    </row>
    <row r="36" spans="1:17" ht="15">
      <c r="A36" s="51" t="s">
        <v>23</v>
      </c>
      <c r="B36" s="31">
        <v>-174</v>
      </c>
      <c r="C36" s="31">
        <v>-174</v>
      </c>
      <c r="D36" s="31">
        <v>-174</v>
      </c>
      <c r="E36" s="31">
        <v>-174</v>
      </c>
      <c r="F36" s="30">
        <v>-174</v>
      </c>
      <c r="G36" s="31">
        <v>-174</v>
      </c>
      <c r="H36" s="30">
        <v>-174</v>
      </c>
      <c r="I36" s="31">
        <v>-174</v>
      </c>
      <c r="J36" s="31">
        <v>-174</v>
      </c>
      <c r="K36" s="31">
        <v>-174</v>
      </c>
      <c r="L36" s="31">
        <v>-174</v>
      </c>
      <c r="M36" s="31">
        <v>-174</v>
      </c>
      <c r="N36" s="30">
        <v>-174</v>
      </c>
      <c r="O36" s="31">
        <v>-174</v>
      </c>
      <c r="P36" s="30">
        <v>-174</v>
      </c>
      <c r="Q36" s="31">
        <v>-174</v>
      </c>
    </row>
    <row r="37" spans="1:17" ht="15">
      <c r="A37" s="51" t="s">
        <v>204</v>
      </c>
      <c r="B37" s="30" t="s">
        <v>129</v>
      </c>
      <c r="C37" s="31">
        <v>-169.3</v>
      </c>
      <c r="D37" s="30" t="s">
        <v>129</v>
      </c>
      <c r="E37" s="31">
        <v>-169.3</v>
      </c>
      <c r="F37" s="31" t="s">
        <v>129</v>
      </c>
      <c r="G37" s="31">
        <v>-161.69999999999999</v>
      </c>
      <c r="H37" s="31" t="s">
        <v>129</v>
      </c>
      <c r="I37" s="31">
        <v>-161.69999999999999</v>
      </c>
      <c r="J37" s="30" t="s">
        <v>152</v>
      </c>
      <c r="K37" s="31">
        <v>-169.3</v>
      </c>
      <c r="L37" s="30" t="s">
        <v>152</v>
      </c>
      <c r="M37" s="31">
        <v>-169.3</v>
      </c>
      <c r="N37" s="31" t="s">
        <v>152</v>
      </c>
      <c r="O37" s="31">
        <v>-161.69999999999999</v>
      </c>
      <c r="P37" s="31" t="s">
        <v>152</v>
      </c>
      <c r="Q37" s="31">
        <v>-161.69999999999999</v>
      </c>
    </row>
    <row r="38" spans="1:17" ht="15">
      <c r="A38" s="51" t="s">
        <v>24</v>
      </c>
      <c r="B38" s="30">
        <v>-169.3</v>
      </c>
      <c r="C38" s="31" t="s">
        <v>129</v>
      </c>
      <c r="D38" s="30">
        <v>-169.3</v>
      </c>
      <c r="E38" s="31" t="s">
        <v>129</v>
      </c>
      <c r="F38" s="31">
        <v>-165.7</v>
      </c>
      <c r="G38" s="31" t="s">
        <v>129</v>
      </c>
      <c r="H38" s="31">
        <v>-165.7</v>
      </c>
      <c r="I38" s="31" t="s">
        <v>129</v>
      </c>
      <c r="J38" s="30">
        <v>-169.3</v>
      </c>
      <c r="K38" s="31" t="s">
        <v>152</v>
      </c>
      <c r="L38" s="30">
        <v>-169.3</v>
      </c>
      <c r="M38" s="31" t="s">
        <v>152</v>
      </c>
      <c r="N38" s="31">
        <v>-165.7</v>
      </c>
      <c r="O38" s="31" t="s">
        <v>152</v>
      </c>
      <c r="P38" s="31">
        <v>-165.7</v>
      </c>
      <c r="Q38" s="31" t="s">
        <v>152</v>
      </c>
    </row>
    <row r="39" spans="1:17" ht="30">
      <c r="A39" s="57" t="s">
        <v>205</v>
      </c>
      <c r="B39" s="35" t="s">
        <v>150</v>
      </c>
      <c r="C39" s="35">
        <f t="shared" ref="C39:I39" si="5">10*LOG10(10^((C35+C36)/10)+10^(C37/10))</f>
        <v>-164.98918835931039</v>
      </c>
      <c r="D39" s="35" t="s">
        <v>150</v>
      </c>
      <c r="E39" s="35">
        <f t="shared" si="5"/>
        <v>-164.98918835931039</v>
      </c>
      <c r="F39" s="35" t="s">
        <v>150</v>
      </c>
      <c r="G39" s="35">
        <f t="shared" si="5"/>
        <v>-160.9583889004532</v>
      </c>
      <c r="H39" s="35" t="s">
        <v>150</v>
      </c>
      <c r="I39" s="35">
        <f t="shared" si="5"/>
        <v>-160.9583889004532</v>
      </c>
      <c r="J39" s="35" t="s">
        <v>152</v>
      </c>
      <c r="K39" s="35">
        <f t="shared" ref="K39:Q39" si="6">10*LOG10(10^((K35+K36)/10)+10^(K37/10))</f>
        <v>-164.98918835931039</v>
      </c>
      <c r="L39" s="35" t="s">
        <v>152</v>
      </c>
      <c r="M39" s="35">
        <f t="shared" si="6"/>
        <v>-164.98918835931039</v>
      </c>
      <c r="N39" s="35" t="s">
        <v>152</v>
      </c>
      <c r="O39" s="35">
        <f t="shared" si="6"/>
        <v>-160.9583889004532</v>
      </c>
      <c r="P39" s="35" t="s">
        <v>152</v>
      </c>
      <c r="Q39" s="35">
        <f t="shared" si="6"/>
        <v>-160.9583889004532</v>
      </c>
    </row>
    <row r="40" spans="1:17" ht="30">
      <c r="A40" s="57" t="s">
        <v>206</v>
      </c>
      <c r="B40" s="35">
        <f t="shared" ref="B40:H40" si="7">10*LOG10(10^((B35+B36)/10)+10^(B38/10))</f>
        <v>-164.98918835931039</v>
      </c>
      <c r="C40" s="35" t="s">
        <v>150</v>
      </c>
      <c r="D40" s="35">
        <f t="shared" si="7"/>
        <v>-164.98918835931039</v>
      </c>
      <c r="E40" s="35" t="s">
        <v>150</v>
      </c>
      <c r="F40" s="35">
        <f t="shared" si="7"/>
        <v>-164.03352307536667</v>
      </c>
      <c r="G40" s="35" t="s">
        <v>150</v>
      </c>
      <c r="H40" s="35">
        <f t="shared" si="7"/>
        <v>-164.03352307536667</v>
      </c>
      <c r="I40" s="35" t="s">
        <v>150</v>
      </c>
      <c r="J40" s="35">
        <f t="shared" ref="J40:P40" si="8">10*LOG10(10^((J35+J36)/10)+10^(J38/10))</f>
        <v>-164.98918835931039</v>
      </c>
      <c r="K40" s="35" t="s">
        <v>152</v>
      </c>
      <c r="L40" s="35">
        <f t="shared" si="8"/>
        <v>-164.98918835931039</v>
      </c>
      <c r="M40" s="35" t="s">
        <v>152</v>
      </c>
      <c r="N40" s="35">
        <f t="shared" si="8"/>
        <v>-164.03352307536667</v>
      </c>
      <c r="O40" s="35" t="s">
        <v>152</v>
      </c>
      <c r="P40" s="35">
        <f t="shared" si="8"/>
        <v>-164.03352307536667</v>
      </c>
      <c r="Q40" s="35" t="s">
        <v>152</v>
      </c>
    </row>
    <row r="41" spans="1:17" ht="30">
      <c r="A41" s="51" t="s">
        <v>25</v>
      </c>
      <c r="B41" s="30" t="s">
        <v>129</v>
      </c>
      <c r="C41" s="30">
        <f>MaxN_RB!$F$6*12*15*1000</f>
        <v>19080000</v>
      </c>
      <c r="D41" s="30" t="s">
        <v>129</v>
      </c>
      <c r="E41" s="30">
        <f>MaxN_RB!$F$6*12*15*1000</f>
        <v>19080000</v>
      </c>
      <c r="F41" s="52" t="s">
        <v>129</v>
      </c>
      <c r="G41" s="31">
        <f>1*12*30*1000</f>
        <v>360000</v>
      </c>
      <c r="H41" s="52" t="s">
        <v>129</v>
      </c>
      <c r="I41" s="31">
        <f>1*12*30*1000</f>
        <v>360000</v>
      </c>
      <c r="J41" s="30" t="s">
        <v>152</v>
      </c>
      <c r="K41" s="30">
        <f>MaxN_RB!F7*12*30*1000</f>
        <v>18360000</v>
      </c>
      <c r="L41" s="30" t="s">
        <v>50</v>
      </c>
      <c r="M41" s="30">
        <f>MaxN_RB!F7*12*30*1000</f>
        <v>18360000</v>
      </c>
      <c r="N41" s="52" t="s">
        <v>50</v>
      </c>
      <c r="O41" s="31">
        <f>1*12*30*1000</f>
        <v>360000</v>
      </c>
      <c r="P41" s="52" t="s">
        <v>50</v>
      </c>
      <c r="Q41" s="31">
        <f>1*12*30*1000</f>
        <v>360000</v>
      </c>
    </row>
    <row r="42" spans="1:17" ht="30">
      <c r="A42" s="51" t="s">
        <v>26</v>
      </c>
      <c r="B42" s="30">
        <f>MaxN_RB!$F$7*12*30*1000</f>
        <v>18360000</v>
      </c>
      <c r="C42" s="52" t="s">
        <v>129</v>
      </c>
      <c r="D42" s="30">
        <f>MaxN_RB!$F$7*12*30*1000</f>
        <v>18360000</v>
      </c>
      <c r="E42" s="52" t="s">
        <v>129</v>
      </c>
      <c r="F42" s="30">
        <f>4*12*30*1000</f>
        <v>1440000</v>
      </c>
      <c r="G42" s="31" t="s">
        <v>129</v>
      </c>
      <c r="H42" s="30">
        <f>4*12*30*1000</f>
        <v>1440000</v>
      </c>
      <c r="I42" s="31" t="s">
        <v>129</v>
      </c>
      <c r="J42" s="30">
        <f>MaxN_RB!F7*12*30*1000</f>
        <v>18360000</v>
      </c>
      <c r="K42" s="52" t="s">
        <v>50</v>
      </c>
      <c r="L42" s="30">
        <f>MaxN_RB!F7*12*30*1000</f>
        <v>18360000</v>
      </c>
      <c r="M42" s="52" t="s">
        <v>50</v>
      </c>
      <c r="N42" s="30">
        <f>4*12*30*1000</f>
        <v>1440000</v>
      </c>
      <c r="O42" s="31" t="s">
        <v>50</v>
      </c>
      <c r="P42" s="30">
        <f>4*12*30*1000</f>
        <v>1440000</v>
      </c>
      <c r="Q42" s="31" t="s">
        <v>152</v>
      </c>
    </row>
    <row r="43" spans="1:17" ht="30">
      <c r="A43" s="55" t="s">
        <v>27</v>
      </c>
      <c r="B43" s="35" t="s">
        <v>150</v>
      </c>
      <c r="C43" s="35">
        <f t="shared" ref="B43:I44" si="9">C39+10*LOG10(C41)</f>
        <v>-92.18340465562963</v>
      </c>
      <c r="D43" s="35" t="s">
        <v>150</v>
      </c>
      <c r="E43" s="35">
        <f t="shared" si="9"/>
        <v>-92.18340465562963</v>
      </c>
      <c r="F43" s="35" t="s">
        <v>150</v>
      </c>
      <c r="G43" s="35">
        <f t="shared" si="9"/>
        <v>-105.39536389278032</v>
      </c>
      <c r="H43" s="35" t="s">
        <v>150</v>
      </c>
      <c r="I43" s="35">
        <f t="shared" si="9"/>
        <v>-105.39536389278032</v>
      </c>
      <c r="J43" s="35" t="s">
        <v>152</v>
      </c>
      <c r="K43" s="35">
        <f t="shared" ref="J43:Q44" si="10">K39+10*LOG10(K41)</f>
        <v>-92.350461590658156</v>
      </c>
      <c r="L43" s="35" t="s">
        <v>50</v>
      </c>
      <c r="M43" s="35">
        <f t="shared" si="10"/>
        <v>-92.350461590658156</v>
      </c>
      <c r="N43" s="35" t="s">
        <v>152</v>
      </c>
      <c r="O43" s="35">
        <f t="shared" si="10"/>
        <v>-105.39536389278032</v>
      </c>
      <c r="P43" s="35" t="s">
        <v>152</v>
      </c>
      <c r="Q43" s="35">
        <f t="shared" si="10"/>
        <v>-105.39536389278032</v>
      </c>
    </row>
    <row r="44" spans="1:17" ht="15">
      <c r="A44" s="55" t="s">
        <v>28</v>
      </c>
      <c r="B44" s="35">
        <f t="shared" si="9"/>
        <v>-92.350461590658156</v>
      </c>
      <c r="C44" s="35" t="s">
        <v>150</v>
      </c>
      <c r="D44" s="35">
        <f t="shared" si="9"/>
        <v>-92.350461590658156</v>
      </c>
      <c r="E44" s="35" t="s">
        <v>150</v>
      </c>
      <c r="F44" s="35">
        <f t="shared" si="9"/>
        <v>-102.44989815441417</v>
      </c>
      <c r="G44" s="35" t="s">
        <v>150</v>
      </c>
      <c r="H44" s="35">
        <f t="shared" si="9"/>
        <v>-102.44989815441417</v>
      </c>
      <c r="I44" s="35" t="s">
        <v>150</v>
      </c>
      <c r="J44" s="35">
        <f t="shared" si="10"/>
        <v>-92.350461590658156</v>
      </c>
      <c r="K44" s="35" t="s">
        <v>152</v>
      </c>
      <c r="L44" s="35">
        <f t="shared" si="10"/>
        <v>-92.350461590658156</v>
      </c>
      <c r="M44" s="35" t="s">
        <v>152</v>
      </c>
      <c r="N44" s="35">
        <f t="shared" si="10"/>
        <v>-102.44989815441417</v>
      </c>
      <c r="O44" s="35" t="s">
        <v>152</v>
      </c>
      <c r="P44" s="35">
        <f t="shared" si="10"/>
        <v>-102.44989815441417</v>
      </c>
      <c r="Q44" s="35" t="s">
        <v>152</v>
      </c>
    </row>
    <row r="45" spans="1:17" ht="15">
      <c r="A45" s="51" t="s">
        <v>29</v>
      </c>
      <c r="B45" s="30" t="s">
        <v>129</v>
      </c>
      <c r="C45" s="68">
        <v>-4.5999999999999996</v>
      </c>
      <c r="D45" s="68" t="s">
        <v>129</v>
      </c>
      <c r="E45" s="68">
        <v>-4.5</v>
      </c>
      <c r="F45" s="30" t="s">
        <v>129</v>
      </c>
      <c r="G45" s="68">
        <v>-5</v>
      </c>
      <c r="H45" s="68" t="s">
        <v>129</v>
      </c>
      <c r="I45" s="68">
        <v>-7.5</v>
      </c>
      <c r="J45" s="68" t="s">
        <v>152</v>
      </c>
      <c r="K45" s="68">
        <v>-9.4</v>
      </c>
      <c r="L45" s="68" t="s">
        <v>152</v>
      </c>
      <c r="M45" s="68">
        <v>-9.6999999999999993</v>
      </c>
      <c r="N45" s="68" t="s">
        <v>50</v>
      </c>
      <c r="O45" s="68">
        <v>-9.4</v>
      </c>
      <c r="P45" s="68" t="s">
        <v>152</v>
      </c>
      <c r="Q45" s="68">
        <v>-10</v>
      </c>
    </row>
    <row r="46" spans="1:17" ht="15">
      <c r="A46" s="51" t="s">
        <v>30</v>
      </c>
      <c r="B46" s="30">
        <v>2.8</v>
      </c>
      <c r="C46" s="30" t="s">
        <v>129</v>
      </c>
      <c r="D46" s="30">
        <v>-0.5</v>
      </c>
      <c r="E46" s="30" t="s">
        <v>129</v>
      </c>
      <c r="F46" s="68">
        <v>1.28</v>
      </c>
      <c r="G46" s="30" t="s">
        <v>129</v>
      </c>
      <c r="H46" s="68">
        <v>0.45</v>
      </c>
      <c r="I46" s="30" t="s">
        <v>129</v>
      </c>
      <c r="J46" s="68">
        <v>0.2</v>
      </c>
      <c r="K46" s="68" t="s">
        <v>152</v>
      </c>
      <c r="L46" s="68">
        <v>-0.8</v>
      </c>
      <c r="M46" s="68" t="s">
        <v>152</v>
      </c>
      <c r="N46" s="68">
        <v>-2</v>
      </c>
      <c r="O46" s="68" t="s">
        <v>152</v>
      </c>
      <c r="P46" s="68">
        <v>-2</v>
      </c>
      <c r="Q46" s="68" t="s">
        <v>152</v>
      </c>
    </row>
    <row r="47" spans="1:17" ht="15">
      <c r="A47" s="51" t="s">
        <v>31</v>
      </c>
      <c r="B47" s="30">
        <v>2</v>
      </c>
      <c r="C47" s="31">
        <v>2</v>
      </c>
      <c r="D47" s="30">
        <v>2</v>
      </c>
      <c r="E47" s="31">
        <v>2</v>
      </c>
      <c r="F47" s="52">
        <v>2</v>
      </c>
      <c r="G47" s="31">
        <v>2</v>
      </c>
      <c r="H47" s="52">
        <v>2</v>
      </c>
      <c r="I47" s="31">
        <v>2</v>
      </c>
      <c r="J47" s="30">
        <v>2</v>
      </c>
      <c r="K47" s="31">
        <v>2</v>
      </c>
      <c r="L47" s="30">
        <v>2</v>
      </c>
      <c r="M47" s="31">
        <v>2</v>
      </c>
      <c r="N47" s="52">
        <v>2</v>
      </c>
      <c r="O47" s="31">
        <v>2</v>
      </c>
      <c r="P47" s="52">
        <v>2</v>
      </c>
      <c r="Q47" s="31">
        <v>2</v>
      </c>
    </row>
    <row r="48" spans="1:17" ht="15">
      <c r="A48" s="51" t="s">
        <v>32</v>
      </c>
      <c r="B48" s="30" t="s">
        <v>129</v>
      </c>
      <c r="C48" s="31">
        <v>0</v>
      </c>
      <c r="D48" s="30" t="s">
        <v>129</v>
      </c>
      <c r="E48" s="31">
        <v>0</v>
      </c>
      <c r="F48" s="52" t="s">
        <v>129</v>
      </c>
      <c r="G48" s="31">
        <v>0</v>
      </c>
      <c r="H48" s="52" t="s">
        <v>129</v>
      </c>
      <c r="I48" s="31">
        <v>0</v>
      </c>
      <c r="J48" s="30" t="s">
        <v>152</v>
      </c>
      <c r="K48" s="31">
        <v>0</v>
      </c>
      <c r="L48" s="30" t="s">
        <v>152</v>
      </c>
      <c r="M48" s="31">
        <v>0</v>
      </c>
      <c r="N48" s="52" t="s">
        <v>50</v>
      </c>
      <c r="O48" s="31">
        <v>0</v>
      </c>
      <c r="P48" s="52" t="s">
        <v>152</v>
      </c>
      <c r="Q48" s="31">
        <v>0</v>
      </c>
    </row>
    <row r="49" spans="1:17" ht="15">
      <c r="A49" s="51" t="s">
        <v>33</v>
      </c>
      <c r="B49" s="30">
        <v>0.5</v>
      </c>
      <c r="C49" s="31" t="s">
        <v>129</v>
      </c>
      <c r="D49" s="30">
        <v>0.5</v>
      </c>
      <c r="E49" s="31" t="s">
        <v>129</v>
      </c>
      <c r="F49" s="52">
        <v>0.5</v>
      </c>
      <c r="G49" s="31" t="s">
        <v>129</v>
      </c>
      <c r="H49" s="52">
        <v>0.5</v>
      </c>
      <c r="I49" s="31" t="s">
        <v>129</v>
      </c>
      <c r="J49" s="30">
        <v>0.5</v>
      </c>
      <c r="K49" s="31" t="s">
        <v>50</v>
      </c>
      <c r="L49" s="30">
        <v>0.5</v>
      </c>
      <c r="M49" s="31" t="s">
        <v>50</v>
      </c>
      <c r="N49" s="52">
        <v>0.5</v>
      </c>
      <c r="O49" s="31" t="s">
        <v>152</v>
      </c>
      <c r="P49" s="52">
        <v>0.5</v>
      </c>
      <c r="Q49" s="31" t="s">
        <v>152</v>
      </c>
    </row>
    <row r="50" spans="1:17" ht="30">
      <c r="A50" s="57" t="s">
        <v>44</v>
      </c>
      <c r="B50" s="35" t="s">
        <v>150</v>
      </c>
      <c r="C50" s="35">
        <f t="shared" ref="C50:I50" si="11">C43+C45+C47-C48</f>
        <v>-94.783404655629624</v>
      </c>
      <c r="D50" s="35" t="s">
        <v>150</v>
      </c>
      <c r="E50" s="35">
        <f t="shared" si="11"/>
        <v>-94.68340465562963</v>
      </c>
      <c r="F50" s="35" t="s">
        <v>150</v>
      </c>
      <c r="G50" s="35">
        <f t="shared" si="11"/>
        <v>-108.39536389278032</v>
      </c>
      <c r="H50" s="35" t="s">
        <v>150</v>
      </c>
      <c r="I50" s="35">
        <f t="shared" si="11"/>
        <v>-110.89536389278032</v>
      </c>
      <c r="J50" s="35" t="s">
        <v>152</v>
      </c>
      <c r="K50" s="35">
        <f t="shared" ref="K50:Q50" si="12">K43+K45+K47-K48</f>
        <v>-99.750461590658162</v>
      </c>
      <c r="L50" s="35" t="s">
        <v>152</v>
      </c>
      <c r="M50" s="35">
        <f t="shared" si="12"/>
        <v>-100.05046159065816</v>
      </c>
      <c r="N50" s="35" t="s">
        <v>152</v>
      </c>
      <c r="O50" s="35">
        <f t="shared" si="12"/>
        <v>-112.79536389278033</v>
      </c>
      <c r="P50" s="35" t="s">
        <v>158</v>
      </c>
      <c r="Q50" s="35">
        <f t="shared" si="12"/>
        <v>-113.39536389278032</v>
      </c>
    </row>
    <row r="51" spans="1:17" ht="30">
      <c r="A51" s="57" t="s">
        <v>45</v>
      </c>
      <c r="B51" s="35">
        <f>B44+B46+B47-B49</f>
        <v>-88.050461590658159</v>
      </c>
      <c r="C51" s="35" t="s">
        <v>150</v>
      </c>
      <c r="D51" s="35">
        <f t="shared" ref="D51:H51" si="13">D44+D46+D47-D49</f>
        <v>-91.350461590658156</v>
      </c>
      <c r="E51" s="35" t="s">
        <v>150</v>
      </c>
      <c r="F51" s="35">
        <f t="shared" si="13"/>
        <v>-99.66989815441417</v>
      </c>
      <c r="G51" s="35" t="s">
        <v>150</v>
      </c>
      <c r="H51" s="35">
        <f t="shared" si="13"/>
        <v>-100.49989815441417</v>
      </c>
      <c r="I51" s="35" t="s">
        <v>150</v>
      </c>
      <c r="J51" s="35">
        <f>J44+J46+J47-J49</f>
        <v>-90.650461590658153</v>
      </c>
      <c r="K51" s="35" t="s">
        <v>158</v>
      </c>
      <c r="L51" s="35">
        <f t="shared" ref="L51:P51" si="14">L44+L46+L47-L49</f>
        <v>-91.650461590658153</v>
      </c>
      <c r="M51" s="35" t="s">
        <v>158</v>
      </c>
      <c r="N51" s="35">
        <f t="shared" si="14"/>
        <v>-102.94989815441417</v>
      </c>
      <c r="O51" s="35" t="s">
        <v>158</v>
      </c>
      <c r="P51" s="35">
        <f t="shared" si="14"/>
        <v>-102.94989815441417</v>
      </c>
      <c r="Q51" s="35" t="s">
        <v>152</v>
      </c>
    </row>
    <row r="52" spans="1:17" ht="30">
      <c r="A52" s="57" t="s">
        <v>89</v>
      </c>
      <c r="B52" s="35" t="s">
        <v>150</v>
      </c>
      <c r="C52" s="35">
        <f t="shared" ref="C52:I52" si="15">C27+C32+C33-C50</f>
        <v>163.89670417866756</v>
      </c>
      <c r="D52" s="35" t="s">
        <v>150</v>
      </c>
      <c r="E52" s="35">
        <f t="shared" si="15"/>
        <v>163.79670417866757</v>
      </c>
      <c r="F52" s="35" t="s">
        <v>150</v>
      </c>
      <c r="G52" s="35">
        <f t="shared" si="15"/>
        <v>153.44686367597939</v>
      </c>
      <c r="H52" s="35" t="s">
        <v>150</v>
      </c>
      <c r="I52" s="35">
        <f t="shared" si="15"/>
        <v>155.94686367597939</v>
      </c>
      <c r="J52" s="35" t="s">
        <v>158</v>
      </c>
      <c r="K52" s="35">
        <f t="shared" ref="K52:Q52" si="16">K27+K32+K33-K50</f>
        <v>168.86376111369611</v>
      </c>
      <c r="L52" s="35" t="s">
        <v>158</v>
      </c>
      <c r="M52" s="35">
        <f t="shared" si="16"/>
        <v>169.1637611136961</v>
      </c>
      <c r="N52" s="35" t="s">
        <v>158</v>
      </c>
      <c r="O52" s="35">
        <f t="shared" si="16"/>
        <v>157.84686367597939</v>
      </c>
      <c r="P52" s="35" t="s">
        <v>158</v>
      </c>
      <c r="Q52" s="35">
        <f t="shared" si="16"/>
        <v>158.44686367597939</v>
      </c>
    </row>
    <row r="53" spans="1:17" ht="30">
      <c r="A53" s="57" t="s">
        <v>90</v>
      </c>
      <c r="B53" s="35">
        <f t="shared" ref="B53:H53" si="17">B28+B32+B33-B51</f>
        <v>157.1637611136961</v>
      </c>
      <c r="C53" s="35" t="s">
        <v>150</v>
      </c>
      <c r="D53" s="35">
        <f t="shared" si="17"/>
        <v>160.46376111369608</v>
      </c>
      <c r="E53" s="35" t="s">
        <v>150</v>
      </c>
      <c r="F53" s="35">
        <f t="shared" si="17"/>
        <v>144.72139793761323</v>
      </c>
      <c r="G53" s="35" t="s">
        <v>150</v>
      </c>
      <c r="H53" s="35">
        <f t="shared" si="17"/>
        <v>145.55139793761322</v>
      </c>
      <c r="I53" s="35" t="s">
        <v>150</v>
      </c>
      <c r="J53" s="35">
        <f t="shared" ref="J53:P53" si="18">J28+J32+J33-J51</f>
        <v>159.76376111369609</v>
      </c>
      <c r="K53" s="35" t="s">
        <v>152</v>
      </c>
      <c r="L53" s="35">
        <f t="shared" si="18"/>
        <v>160.76376111369609</v>
      </c>
      <c r="M53" s="35" t="s">
        <v>158</v>
      </c>
      <c r="N53" s="35">
        <f t="shared" si="18"/>
        <v>148.00139793761323</v>
      </c>
      <c r="O53" s="35" t="s">
        <v>158</v>
      </c>
      <c r="P53" s="35">
        <f t="shared" si="18"/>
        <v>148.00139793761323</v>
      </c>
      <c r="Q53" s="35" t="s">
        <v>152</v>
      </c>
    </row>
    <row r="54" spans="1:17">
      <c r="A54" s="33" t="s">
        <v>34</v>
      </c>
      <c r="B54" s="50"/>
      <c r="C54" s="50"/>
      <c r="D54" s="50"/>
      <c r="E54" s="50"/>
      <c r="F54" s="50"/>
      <c r="G54" s="50"/>
      <c r="H54" s="50"/>
      <c r="I54" s="50"/>
      <c r="J54" s="50"/>
      <c r="K54" s="50"/>
      <c r="L54" s="50"/>
      <c r="M54" s="50"/>
      <c r="N54" s="50"/>
      <c r="O54" s="50"/>
      <c r="P54" s="50"/>
      <c r="Q54" s="50"/>
    </row>
    <row r="55" spans="1:17" ht="15">
      <c r="A55" s="51" t="s">
        <v>35</v>
      </c>
      <c r="B55" s="52">
        <v>8</v>
      </c>
      <c r="C55" s="52">
        <v>8</v>
      </c>
      <c r="D55" s="52">
        <v>8</v>
      </c>
      <c r="E55" s="52">
        <v>8</v>
      </c>
      <c r="F55" s="52">
        <v>8</v>
      </c>
      <c r="G55" s="52">
        <v>8</v>
      </c>
      <c r="H55" s="52">
        <v>8</v>
      </c>
      <c r="I55" s="52">
        <v>8</v>
      </c>
      <c r="J55" s="70">
        <v>6</v>
      </c>
      <c r="K55" s="70">
        <v>6</v>
      </c>
      <c r="L55" s="70">
        <v>8</v>
      </c>
      <c r="M55" s="70">
        <v>8</v>
      </c>
      <c r="N55" s="70">
        <v>6</v>
      </c>
      <c r="O55" s="70">
        <v>6</v>
      </c>
      <c r="P55" s="70">
        <v>8</v>
      </c>
      <c r="Q55" s="70">
        <v>8</v>
      </c>
    </row>
    <row r="56" spans="1:17" ht="30">
      <c r="A56" s="51" t="s">
        <v>36</v>
      </c>
      <c r="B56" s="38" t="s">
        <v>103</v>
      </c>
      <c r="C56" s="52">
        <v>10.45</v>
      </c>
      <c r="D56" s="52" t="s">
        <v>83</v>
      </c>
      <c r="E56" s="52">
        <v>8.4499999999999993</v>
      </c>
      <c r="F56" s="38" t="s">
        <v>103</v>
      </c>
      <c r="G56" s="52">
        <v>10.45</v>
      </c>
      <c r="H56" s="52" t="s">
        <v>83</v>
      </c>
      <c r="I56" s="52">
        <v>8.4499999999999993</v>
      </c>
      <c r="J56" s="83" t="s">
        <v>158</v>
      </c>
      <c r="K56" s="70">
        <v>8.06</v>
      </c>
      <c r="L56" s="70" t="s">
        <v>158</v>
      </c>
      <c r="M56" s="70">
        <v>8.2899999999999991</v>
      </c>
      <c r="N56" s="83" t="s">
        <v>158</v>
      </c>
      <c r="O56" s="70">
        <v>8.06</v>
      </c>
      <c r="P56" s="70" t="s">
        <v>158</v>
      </c>
      <c r="Q56" s="70">
        <v>8.2899999999999991</v>
      </c>
    </row>
    <row r="57" spans="1:17" ht="30">
      <c r="A57" s="51" t="s">
        <v>37</v>
      </c>
      <c r="B57" s="52">
        <v>6.61</v>
      </c>
      <c r="C57" s="38" t="s">
        <v>103</v>
      </c>
      <c r="D57" s="52">
        <v>5.13</v>
      </c>
      <c r="E57" s="38" t="s">
        <v>83</v>
      </c>
      <c r="F57" s="52">
        <v>6.61</v>
      </c>
      <c r="G57" s="38" t="s">
        <v>103</v>
      </c>
      <c r="H57" s="52">
        <v>5.13</v>
      </c>
      <c r="I57" s="38" t="s">
        <v>83</v>
      </c>
      <c r="J57" s="70">
        <v>4.79</v>
      </c>
      <c r="K57" s="83" t="s">
        <v>152</v>
      </c>
      <c r="L57" s="70">
        <v>5.0199999999999996</v>
      </c>
      <c r="M57" s="83" t="s">
        <v>158</v>
      </c>
      <c r="N57" s="70">
        <v>4.79</v>
      </c>
      <c r="O57" s="83" t="s">
        <v>152</v>
      </c>
      <c r="P57" s="70">
        <v>5.0199999999999996</v>
      </c>
      <c r="Q57" s="83" t="s">
        <v>152</v>
      </c>
    </row>
    <row r="58" spans="1:17" ht="15">
      <c r="A58" s="51" t="s">
        <v>38</v>
      </c>
      <c r="B58" s="32">
        <v>0</v>
      </c>
      <c r="C58" s="32">
        <v>0</v>
      </c>
      <c r="D58" s="32">
        <v>0</v>
      </c>
      <c r="E58" s="32">
        <v>0</v>
      </c>
      <c r="F58" s="32">
        <v>0</v>
      </c>
      <c r="G58" s="32">
        <v>0</v>
      </c>
      <c r="H58" s="32">
        <v>0</v>
      </c>
      <c r="I58" s="32">
        <v>0</v>
      </c>
      <c r="J58" s="69">
        <v>0</v>
      </c>
      <c r="K58" s="69">
        <v>0</v>
      </c>
      <c r="L58" s="69">
        <v>0</v>
      </c>
      <c r="M58" s="69">
        <v>0</v>
      </c>
      <c r="N58" s="69">
        <v>0</v>
      </c>
      <c r="O58" s="69">
        <v>0</v>
      </c>
      <c r="P58" s="69">
        <v>0</v>
      </c>
      <c r="Q58" s="69">
        <v>0</v>
      </c>
    </row>
    <row r="59" spans="1:17" ht="15">
      <c r="A59" s="51" t="s">
        <v>39</v>
      </c>
      <c r="B59" s="32">
        <v>9</v>
      </c>
      <c r="C59" s="32">
        <v>9</v>
      </c>
      <c r="D59" s="32">
        <v>12.5</v>
      </c>
      <c r="E59" s="32">
        <v>12.5</v>
      </c>
      <c r="F59" s="32">
        <v>9</v>
      </c>
      <c r="G59" s="32">
        <v>9</v>
      </c>
      <c r="H59" s="32">
        <v>12.5</v>
      </c>
      <c r="I59" s="32">
        <v>12.5</v>
      </c>
      <c r="J59" s="69">
        <v>9</v>
      </c>
      <c r="K59" s="69">
        <v>9</v>
      </c>
      <c r="L59" s="69">
        <v>12.5</v>
      </c>
      <c r="M59" s="69">
        <v>12.5</v>
      </c>
      <c r="N59" s="69">
        <v>9</v>
      </c>
      <c r="O59" s="69">
        <v>9</v>
      </c>
      <c r="P59" s="69">
        <v>12.5</v>
      </c>
      <c r="Q59" s="69">
        <v>12.5</v>
      </c>
    </row>
    <row r="60" spans="1:17" ht="15">
      <c r="A60" s="51" t="s">
        <v>40</v>
      </c>
      <c r="B60" s="52">
        <v>0</v>
      </c>
      <c r="C60" s="52">
        <v>0</v>
      </c>
      <c r="D60" s="52">
        <v>0</v>
      </c>
      <c r="E60" s="52">
        <v>0</v>
      </c>
      <c r="F60" s="52">
        <v>0</v>
      </c>
      <c r="G60" s="52">
        <v>0</v>
      </c>
      <c r="H60" s="52">
        <v>0</v>
      </c>
      <c r="I60" s="52">
        <v>0</v>
      </c>
      <c r="J60" s="52">
        <v>0</v>
      </c>
      <c r="K60" s="52">
        <v>0</v>
      </c>
      <c r="L60" s="52">
        <v>0</v>
      </c>
      <c r="M60" s="52">
        <v>0</v>
      </c>
      <c r="N60" s="52">
        <v>0</v>
      </c>
      <c r="O60" s="52">
        <v>0</v>
      </c>
      <c r="P60" s="52">
        <v>0</v>
      </c>
      <c r="Q60" s="52">
        <v>0</v>
      </c>
    </row>
    <row r="61" spans="1:17" ht="30">
      <c r="A61" s="57" t="s">
        <v>136</v>
      </c>
      <c r="B61" s="35" t="s">
        <v>150</v>
      </c>
      <c r="C61" s="35">
        <f t="shared" ref="C61:I61" si="19">C52-C56+C58-C59+C60-C34</f>
        <v>143.44670417866757</v>
      </c>
      <c r="D61" s="35" t="s">
        <v>150</v>
      </c>
      <c r="E61" s="35">
        <f t="shared" si="19"/>
        <v>141.84670417866758</v>
      </c>
      <c r="F61" s="35" t="s">
        <v>150</v>
      </c>
      <c r="G61" s="35">
        <f t="shared" si="19"/>
        <v>130.9968636759794</v>
      </c>
      <c r="H61" s="35" t="s">
        <v>150</v>
      </c>
      <c r="I61" s="35">
        <f t="shared" si="19"/>
        <v>131.9968636759794</v>
      </c>
      <c r="J61" s="35" t="s">
        <v>158</v>
      </c>
      <c r="K61" s="35">
        <f t="shared" ref="K61:Q61" si="20">K52-K56+K58-K59+K60-K34</f>
        <v>150.80376111369611</v>
      </c>
      <c r="L61" s="35" t="s">
        <v>158</v>
      </c>
      <c r="M61" s="35">
        <f t="shared" si="20"/>
        <v>147.3737611136961</v>
      </c>
      <c r="N61" s="35" t="s">
        <v>152</v>
      </c>
      <c r="O61" s="35">
        <f t="shared" si="20"/>
        <v>137.78686367597939</v>
      </c>
      <c r="P61" s="35" t="s">
        <v>152</v>
      </c>
      <c r="Q61" s="35">
        <f t="shared" si="20"/>
        <v>134.65686367597939</v>
      </c>
    </row>
    <row r="62" spans="1:17" ht="30">
      <c r="A62" s="57" t="s">
        <v>46</v>
      </c>
      <c r="B62" s="35">
        <f t="shared" ref="B62:H62" si="21">B53-B57+B58-B59+B60-B34</f>
        <v>140.55376111369608</v>
      </c>
      <c r="C62" s="35" t="s">
        <v>150</v>
      </c>
      <c r="D62" s="35">
        <f t="shared" si="21"/>
        <v>141.83376111369608</v>
      </c>
      <c r="E62" s="35" t="s">
        <v>150</v>
      </c>
      <c r="F62" s="35">
        <f t="shared" si="21"/>
        <v>126.11139793761322</v>
      </c>
      <c r="G62" s="35" t="s">
        <v>150</v>
      </c>
      <c r="H62" s="35">
        <f t="shared" si="21"/>
        <v>124.92139793761322</v>
      </c>
      <c r="I62" s="35" t="s">
        <v>150</v>
      </c>
      <c r="J62" s="35">
        <f t="shared" ref="J62:P62" si="22">J53-J57+J58-J59+J60-J34</f>
        <v>144.9737611136961</v>
      </c>
      <c r="K62" s="35" t="s">
        <v>152</v>
      </c>
      <c r="L62" s="35">
        <f t="shared" si="22"/>
        <v>142.24376111369608</v>
      </c>
      <c r="M62" s="35" t="s">
        <v>158</v>
      </c>
      <c r="N62" s="35">
        <f t="shared" si="22"/>
        <v>131.21139793761324</v>
      </c>
      <c r="O62" s="35" t="s">
        <v>152</v>
      </c>
      <c r="P62" s="35">
        <f t="shared" si="22"/>
        <v>127.48139793761322</v>
      </c>
      <c r="Q62" s="35" t="s">
        <v>152</v>
      </c>
    </row>
    <row r="63" spans="1:17">
      <c r="A63" s="33" t="s">
        <v>41</v>
      </c>
      <c r="B63" s="50"/>
      <c r="C63" s="50"/>
      <c r="D63" s="50"/>
      <c r="E63" s="50"/>
      <c r="F63" s="50"/>
      <c r="G63" s="50"/>
      <c r="H63" s="50"/>
      <c r="I63" s="50"/>
      <c r="J63" s="50"/>
      <c r="K63" s="50"/>
      <c r="L63" s="50"/>
      <c r="M63" s="50"/>
      <c r="N63" s="50"/>
      <c r="O63" s="50"/>
      <c r="P63" s="50"/>
      <c r="Q63" s="50"/>
    </row>
    <row r="64" spans="1:17" ht="30">
      <c r="A64" s="58" t="s">
        <v>137</v>
      </c>
      <c r="B64" s="31" t="s">
        <v>129</v>
      </c>
      <c r="C64" s="52">
        <f>10^((C61-161.04+7.1*LOG10(20)-7.5*LOG10(5)+(24.37-3.7*(5/C$5)^2)*LOG10(C$5)-20*LOG10(C$4)+(3.2*(LOG10(11.75*C$6)^2)-4.97))/(43.42-3.1*LOG10(C$5))+3)</f>
        <v>5002.2735449836473</v>
      </c>
      <c r="D64" s="31" t="s">
        <v>129</v>
      </c>
      <c r="E64" s="52">
        <f>10^((E61-161.04+7.1*LOG10(20)-7.5*LOG10(5)+(24.37-3.7*(5/E$5)^2)*LOG10(E$5)-20*LOG10(E$4)+(3.2*(LOG10(11.75*E$6)^2)-4.97))/(43.42-3.1*LOG10(E$5))+3)</f>
        <v>4547.2882406131503</v>
      </c>
      <c r="F64" s="31" t="s">
        <v>129</v>
      </c>
      <c r="G64" s="52">
        <f>10^((G61-161.04+7.1*LOG10(20)-7.5*LOG10(5)+(24.37-3.7*(5/G$5)^2)*LOG10(G$5)-20*LOG10(G$4)+(3.2*(LOG10(11.75*G$6)^2)-4.97))/(43.42-3.1*LOG10(G$5))+3)</f>
        <v>2381.8338385122202</v>
      </c>
      <c r="H64" s="31" t="s">
        <v>129</v>
      </c>
      <c r="I64" s="52">
        <f>10^((I61-161.04+7.1*LOG10(20)-7.5*LOG10(5)+(24.37-3.7*(5/I$5)^2)*LOG10(I$5)-20*LOG10(I$4)+(3.2*(LOG10(11.75*I$6)^2)-4.97))/(43.42-3.1*LOG10(I$5))+3)</f>
        <v>2528.1090697532591</v>
      </c>
      <c r="J64" s="31" t="s">
        <v>152</v>
      </c>
      <c r="K64" s="52">
        <f>10^((K61-161.04+7.1*LOG10(20)-7.5*LOG10(5)+(24.37-3.7*(5/K$5)^2)*LOG10(K$5)-20*LOG10(K$4)+(3.2*(LOG10(11.75*K$6)^2)-4.97))/(43.42-3.1*LOG10(K$5))+3)</f>
        <v>7755.3257160081284</v>
      </c>
      <c r="L64" s="31" t="s">
        <v>152</v>
      </c>
      <c r="M64" s="52">
        <f>10^((M61-161.04+7.1*LOG10(20)-7.5*LOG10(5)+(24.37-3.7*(5/M$5)^2)*LOG10(M$5)-20*LOG10(M$4)+(3.2*(LOG10(11.75*M$6)^2)-4.97))/(43.42-3.1*LOG10(M$5))+3)</f>
        <v>6321.4504271504775</v>
      </c>
      <c r="N64" s="31" t="s">
        <v>152</v>
      </c>
      <c r="O64" s="52">
        <f>10^((O61-161.04+7.1*LOG10(20)-7.5*LOG10(5)+(24.37-3.7*(5/O$5)^2)*LOG10(O$5)-20*LOG10(O$4)+(3.2*(LOG10(11.75*O$6)^2)-4.97))/(43.42-3.1*LOG10(O$5))+3)</f>
        <v>3569.9831689981334</v>
      </c>
      <c r="P64" s="31" t="s">
        <v>158</v>
      </c>
      <c r="Q64" s="52">
        <f>10^((Q61-161.04+7.1*LOG10(20)-7.5*LOG10(5)+(24.37-3.7*(5/Q$5)^2)*LOG10(Q$5)-20*LOG10(Q$4)+(3.2*(LOG10(11.75*Q$6)^2)-4.97))/(43.42-3.1*LOG10(Q$5))+3)</f>
        <v>2962.4304727970284</v>
      </c>
    </row>
    <row r="65" spans="1:17" ht="30">
      <c r="A65" s="58" t="s">
        <v>138</v>
      </c>
      <c r="B65" s="52">
        <f>10^((B62-161.04+7.1*LOG10(20)-7.5*LOG10(5)+(24.37-3.7*(5/B$5)^2)*LOG10(B$5)-20*LOG10(B$4)+(3.2*(LOG10(11.75*B$6)^2)-4.97))/(43.42-3.1*LOG10(B$5))+3)</f>
        <v>4210.0329854575284</v>
      </c>
      <c r="C65" s="31" t="s">
        <v>129</v>
      </c>
      <c r="D65" s="52">
        <f>10^((D62-161.04+7.1*LOG10(20)-7.5*LOG10(5)+(24.37-3.7*(5/D$5)^2)*LOG10(D$5)-20*LOG10(D$4)+(3.2*(LOG10(11.75*D$6)^2)-4.97))/(43.42-3.1*LOG10(D$5))+3)</f>
        <v>4543.7817313099704</v>
      </c>
      <c r="E65" s="31" t="s">
        <v>129</v>
      </c>
      <c r="F65" s="52">
        <f>10^((F62-161.04+7.1*LOG10(20)-7.5*LOG10(5)+(24.37-3.7*(5/F$5)^2)*LOG10(F$5)-20*LOG10(F$4)+(3.2*(LOG10(11.75*F$6)^2)-4.97))/(43.42-3.1*LOG10(F$5))+3)</f>
        <v>1780.1408922167677</v>
      </c>
      <c r="G65" s="31" t="s">
        <v>129</v>
      </c>
      <c r="H65" s="52">
        <f>10^((H62-161.04+7.1*LOG10(20)-7.5*LOG10(5)+(24.37-3.7*(5/H$5)^2)*LOG10(H$5)-20*LOG10(H$4)+(3.2*(LOG10(11.75*H$6)^2)-4.97))/(43.42-3.1*LOG10(H$5))+3)</f>
        <v>1658.2576335486058</v>
      </c>
      <c r="I65" s="31" t="s">
        <v>129</v>
      </c>
      <c r="J65" s="52">
        <f>10^((J62-161.04+7.1*LOG10(20)-7.5*LOG10(5)+(24.37-3.7*(5/J$5)^2)*LOG10(J$5)-20*LOG10(J$4)+(3.2*(LOG10(11.75*J$6)^2)-4.97))/(43.42-3.1*LOG10(J$5))+3)</f>
        <v>5478.911769299667</v>
      </c>
      <c r="K65" s="31" t="s">
        <v>152</v>
      </c>
      <c r="L65" s="52">
        <f>10^((L62-161.04+7.1*LOG10(20)-7.5*LOG10(5)+(24.37-3.7*(5/L$5)^2)*LOG10(L$5)-20*LOG10(L$4)+(3.2*(LOG10(11.75*L$6)^2)-4.97))/(43.42-3.1*LOG10(L$5))+3)</f>
        <v>4656.183021209562</v>
      </c>
      <c r="M65" s="31" t="s">
        <v>158</v>
      </c>
      <c r="N65" s="52">
        <f>10^((N62-161.04+7.1*LOG10(20)-7.5*LOG10(5)+(24.37-3.7*(5/N$5)^2)*LOG10(N$5)-20*LOG10(N$4)+(3.2*(LOG10(11.75*N$6)^2)-4.97))/(43.42-3.1*LOG10(N$5))+3)</f>
        <v>2412.484545745107</v>
      </c>
      <c r="O65" s="31" t="s">
        <v>152</v>
      </c>
      <c r="P65" s="52">
        <f>10^((P62-161.04+7.1*LOG10(20)-7.5*LOG10(5)+(24.37-3.7*(5/P$5)^2)*LOG10(P$5)-20*LOG10(P$4)+(3.2*(LOG10(11.75*P$6)^2)-4.97))/(43.42-3.1*LOG10(P$5))+3)</f>
        <v>1931.594367381975</v>
      </c>
      <c r="Q65" s="31" t="s">
        <v>152</v>
      </c>
    </row>
    <row r="66" spans="1:17" ht="18">
      <c r="A66" s="58" t="s">
        <v>94</v>
      </c>
      <c r="B66" s="31" t="s">
        <v>129</v>
      </c>
      <c r="C66" s="31">
        <f>PI()*(C64)^2</f>
        <v>78611258.100840911</v>
      </c>
      <c r="D66" s="31" t="s">
        <v>129</v>
      </c>
      <c r="E66" s="31">
        <f>PI()*(E64)^2</f>
        <v>64961319.898431785</v>
      </c>
      <c r="F66" s="31" t="s">
        <v>129</v>
      </c>
      <c r="G66" s="31">
        <f>PI()*(G64)^2</f>
        <v>17822671.17838186</v>
      </c>
      <c r="H66" s="31" t="s">
        <v>129</v>
      </c>
      <c r="I66" s="31">
        <f>PI()*(I64)^2</f>
        <v>20078972.554683272</v>
      </c>
      <c r="J66" s="31" t="s">
        <v>158</v>
      </c>
      <c r="K66" s="31">
        <f>PI()*(K64)^2</f>
        <v>188951331.93145466</v>
      </c>
      <c r="L66" s="31" t="s">
        <v>152</v>
      </c>
      <c r="M66" s="31">
        <f>PI()*(M64)^2</f>
        <v>125540353.08802129</v>
      </c>
      <c r="N66" s="31" t="s">
        <v>152</v>
      </c>
      <c r="O66" s="31">
        <f>PI()*(O64)^2</f>
        <v>40038906.675902538</v>
      </c>
      <c r="P66" s="31" t="s">
        <v>152</v>
      </c>
      <c r="Q66" s="31">
        <f>PI()*(Q64)^2</f>
        <v>27570599.240166876</v>
      </c>
    </row>
    <row r="67" spans="1:17" ht="18">
      <c r="A67" s="58" t="s">
        <v>95</v>
      </c>
      <c r="B67" s="31">
        <f>PI()*(B65)^2</f>
        <v>55682774.893163249</v>
      </c>
      <c r="C67" s="31" t="s">
        <v>129</v>
      </c>
      <c r="D67" s="31">
        <f>PI()*(D65)^2</f>
        <v>64861172.454648018</v>
      </c>
      <c r="E67" s="31" t="s">
        <v>129</v>
      </c>
      <c r="F67" s="31">
        <f>PI()*(F65)^2</f>
        <v>9955397.9743896499</v>
      </c>
      <c r="G67" s="31" t="s">
        <v>129</v>
      </c>
      <c r="H67" s="31">
        <f>PI()*(H65)^2</f>
        <v>8638809.2188707255</v>
      </c>
      <c r="I67" s="31" t="s">
        <v>129</v>
      </c>
      <c r="J67" s="31">
        <f>PI()*(J65)^2</f>
        <v>94305817.942575231</v>
      </c>
      <c r="K67" s="31" t="s">
        <v>152</v>
      </c>
      <c r="L67" s="31">
        <f>PI()*(L65)^2</f>
        <v>68109855.420834303</v>
      </c>
      <c r="M67" s="31" t="s">
        <v>152</v>
      </c>
      <c r="N67" s="31">
        <f>PI()*(N65)^2</f>
        <v>18284325.860047232</v>
      </c>
      <c r="O67" s="31" t="s">
        <v>152</v>
      </c>
      <c r="P67" s="31">
        <f>PI()*(P65)^2</f>
        <v>11721460.633325968</v>
      </c>
      <c r="Q67" s="31" t="s">
        <v>152</v>
      </c>
    </row>
    <row r="69" spans="1:17">
      <c r="A69" s="59"/>
    </row>
  </sheetData>
  <mergeCells count="4">
    <mergeCell ref="B1:E1"/>
    <mergeCell ref="F1:I1"/>
    <mergeCell ref="J1:M1"/>
    <mergeCell ref="N1:Q1"/>
  </mergeCells>
  <phoneticPr fontId="1" type="noConversion"/>
  <dataValidations count="1">
    <dataValidation type="list" allowBlank="1" showInputMessage="1" showErrorMessage="1" sqref="F34:I34 B26:E26 N34:Q34 J26:M26">
      <formula1>"0,3"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50" zoomScaleNormal="50" workbookViewId="0">
      <pane xSplit="1" ySplit="2" topLeftCell="B3" activePane="bottomRight" state="frozen"/>
      <selection pane="topRight" activeCell="B1" sqref="B1"/>
      <selection pane="bottomLeft" activeCell="A3" sqref="A3"/>
      <selection pane="bottomRight" activeCell="Q4" sqref="Q4"/>
    </sheetView>
  </sheetViews>
  <sheetFormatPr defaultColWidth="8.875" defaultRowHeight="14.25"/>
  <cols>
    <col min="1" max="1" width="58.125" style="42" customWidth="1"/>
    <col min="2" max="3" width="16" style="38" customWidth="1"/>
    <col min="4" max="4" width="15.125" style="38" customWidth="1"/>
    <col min="5" max="5" width="14.875" style="38" customWidth="1"/>
    <col min="6" max="6" width="15" style="42" customWidth="1"/>
    <col min="7" max="7" width="14.5" style="42" customWidth="1"/>
    <col min="8" max="8" width="14.625" style="42" customWidth="1"/>
    <col min="9" max="9" width="13.625" style="42" customWidth="1"/>
    <col min="10" max="10" width="13" customWidth="1"/>
    <col min="11" max="11" width="14.625" customWidth="1"/>
    <col min="12" max="12" width="11.625" bestFit="1" customWidth="1"/>
    <col min="13" max="13" width="13.625" customWidth="1"/>
    <col min="14" max="16" width="11.625" bestFit="1" customWidth="1"/>
    <col min="17" max="17" width="11.125" customWidth="1"/>
  </cols>
  <sheetData>
    <row r="1" spans="1:17">
      <c r="A1" s="48" t="s">
        <v>0</v>
      </c>
      <c r="B1" s="139" t="s">
        <v>47</v>
      </c>
      <c r="C1" s="139"/>
      <c r="D1" s="139"/>
      <c r="E1" s="139"/>
      <c r="F1" s="139" t="s">
        <v>48</v>
      </c>
      <c r="G1" s="139"/>
      <c r="H1" s="139"/>
      <c r="I1" s="139"/>
      <c r="J1" s="139" t="s">
        <v>47</v>
      </c>
      <c r="K1" s="139"/>
      <c r="L1" s="139"/>
      <c r="M1" s="139"/>
      <c r="N1" s="139" t="s">
        <v>48</v>
      </c>
      <c r="O1" s="139"/>
      <c r="P1" s="139"/>
      <c r="Q1" s="139"/>
    </row>
    <row r="2" spans="1:17" ht="42.75">
      <c r="A2" s="49"/>
      <c r="B2" s="134" t="s">
        <v>232</v>
      </c>
      <c r="C2" s="134" t="s">
        <v>233</v>
      </c>
      <c r="D2" s="134" t="s">
        <v>234</v>
      </c>
      <c r="E2" s="134" t="s">
        <v>235</v>
      </c>
      <c r="F2" s="134" t="s">
        <v>236</v>
      </c>
      <c r="G2" s="134" t="s">
        <v>229</v>
      </c>
      <c r="H2" s="134" t="s">
        <v>237</v>
      </c>
      <c r="I2" s="134" t="s">
        <v>231</v>
      </c>
      <c r="J2" s="82" t="s">
        <v>238</v>
      </c>
      <c r="K2" s="82" t="s">
        <v>239</v>
      </c>
      <c r="L2" s="82" t="s">
        <v>240</v>
      </c>
      <c r="M2" s="82" t="s">
        <v>241</v>
      </c>
      <c r="N2" s="82" t="s">
        <v>242</v>
      </c>
      <c r="O2" s="82" t="s">
        <v>243</v>
      </c>
      <c r="P2" s="82" t="s">
        <v>244</v>
      </c>
      <c r="Q2" s="82" t="s">
        <v>245</v>
      </c>
    </row>
    <row r="3" spans="1:17">
      <c r="A3" s="33" t="s">
        <v>1</v>
      </c>
      <c r="B3" s="50"/>
      <c r="C3" s="50"/>
      <c r="D3" s="50"/>
      <c r="E3" s="50"/>
      <c r="F3" s="50"/>
      <c r="G3" s="50"/>
      <c r="H3" s="50"/>
      <c r="I3" s="50"/>
      <c r="J3" s="50"/>
      <c r="K3" s="50"/>
      <c r="L3" s="50"/>
      <c r="M3" s="50"/>
      <c r="N3" s="50"/>
      <c r="O3" s="50"/>
      <c r="P3" s="50"/>
      <c r="Q3" s="50"/>
    </row>
    <row r="4" spans="1:17" ht="15">
      <c r="A4" s="51" t="s">
        <v>2</v>
      </c>
      <c r="B4" s="32">
        <v>4</v>
      </c>
      <c r="C4" s="135">
        <v>4</v>
      </c>
      <c r="D4" s="32">
        <v>4</v>
      </c>
      <c r="E4" s="52">
        <v>4</v>
      </c>
      <c r="F4" s="32">
        <v>4</v>
      </c>
      <c r="G4" s="52">
        <v>4</v>
      </c>
      <c r="H4" s="32">
        <v>4</v>
      </c>
      <c r="I4" s="52">
        <v>4</v>
      </c>
      <c r="J4" s="32">
        <v>4</v>
      </c>
      <c r="K4" s="52">
        <v>4</v>
      </c>
      <c r="L4" s="32">
        <v>4</v>
      </c>
      <c r="M4" s="52">
        <v>4</v>
      </c>
      <c r="N4" s="32">
        <v>4</v>
      </c>
      <c r="O4" s="52">
        <v>4</v>
      </c>
      <c r="P4" s="32">
        <v>4</v>
      </c>
      <c r="Q4" s="52">
        <v>4</v>
      </c>
    </row>
    <row r="5" spans="1:17" ht="15">
      <c r="A5" s="51" t="s">
        <v>3</v>
      </c>
      <c r="B5" s="52">
        <v>35</v>
      </c>
      <c r="C5" s="52">
        <v>35</v>
      </c>
      <c r="D5" s="52">
        <v>35</v>
      </c>
      <c r="E5" s="52">
        <v>35</v>
      </c>
      <c r="F5" s="52">
        <v>35</v>
      </c>
      <c r="G5" s="52">
        <v>35</v>
      </c>
      <c r="H5" s="52">
        <v>35</v>
      </c>
      <c r="I5" s="52">
        <v>35</v>
      </c>
      <c r="J5" s="52">
        <v>35</v>
      </c>
      <c r="K5" s="52">
        <v>35</v>
      </c>
      <c r="L5" s="52">
        <v>35</v>
      </c>
      <c r="M5" s="52">
        <v>35</v>
      </c>
      <c r="N5" s="52">
        <v>35</v>
      </c>
      <c r="O5" s="52">
        <v>35</v>
      </c>
      <c r="P5" s="52">
        <v>35</v>
      </c>
      <c r="Q5" s="52">
        <v>35</v>
      </c>
    </row>
    <row r="6" spans="1:17" ht="15">
      <c r="A6" s="51" t="s">
        <v>4</v>
      </c>
      <c r="B6" s="32">
        <v>1.5</v>
      </c>
      <c r="C6" s="52">
        <v>1.5</v>
      </c>
      <c r="D6" s="32">
        <v>1.5</v>
      </c>
      <c r="E6" s="52">
        <v>1.5</v>
      </c>
      <c r="F6" s="32">
        <v>1.5</v>
      </c>
      <c r="G6" s="52">
        <v>1.5</v>
      </c>
      <c r="H6" s="32">
        <v>1.5</v>
      </c>
      <c r="I6" s="52">
        <v>1.5</v>
      </c>
      <c r="J6" s="32">
        <v>1.5</v>
      </c>
      <c r="K6" s="52">
        <v>1.5</v>
      </c>
      <c r="L6" s="32">
        <v>1.5</v>
      </c>
      <c r="M6" s="52">
        <v>1.5</v>
      </c>
      <c r="N6" s="32">
        <v>1.5</v>
      </c>
      <c r="O6" s="52">
        <v>1.5</v>
      </c>
      <c r="P6" s="32">
        <v>1.5</v>
      </c>
      <c r="Q6" s="52">
        <v>1.5</v>
      </c>
    </row>
    <row r="7" spans="1:17" ht="30">
      <c r="A7" s="51" t="s">
        <v>202</v>
      </c>
      <c r="B7" s="17" t="s">
        <v>50</v>
      </c>
      <c r="C7" s="46">
        <v>0.95</v>
      </c>
      <c r="D7" s="17" t="s">
        <v>50</v>
      </c>
      <c r="E7" s="46">
        <v>0.95</v>
      </c>
      <c r="F7" s="46" t="s">
        <v>50</v>
      </c>
      <c r="G7" s="18">
        <v>0.95</v>
      </c>
      <c r="H7" s="46" t="s">
        <v>50</v>
      </c>
      <c r="I7" s="18">
        <v>0.95</v>
      </c>
      <c r="J7" s="17" t="s">
        <v>50</v>
      </c>
      <c r="K7" s="46">
        <v>0.95</v>
      </c>
      <c r="L7" s="17" t="s">
        <v>50</v>
      </c>
      <c r="M7" s="46">
        <v>0.95</v>
      </c>
      <c r="N7" s="46" t="s">
        <v>50</v>
      </c>
      <c r="O7" s="18">
        <v>0.95</v>
      </c>
      <c r="P7" s="46" t="s">
        <v>50</v>
      </c>
      <c r="Q7" s="18">
        <v>0.95</v>
      </c>
    </row>
    <row r="8" spans="1:17" ht="30">
      <c r="A8" s="51" t="s">
        <v>203</v>
      </c>
      <c r="B8" s="17">
        <v>0.9</v>
      </c>
      <c r="C8" s="46" t="s">
        <v>50</v>
      </c>
      <c r="D8" s="17">
        <v>0.9</v>
      </c>
      <c r="E8" s="46" t="s">
        <v>50</v>
      </c>
      <c r="F8" s="46">
        <v>0.9</v>
      </c>
      <c r="G8" s="18" t="s">
        <v>50</v>
      </c>
      <c r="H8" s="46">
        <v>0.9</v>
      </c>
      <c r="I8" s="18" t="s">
        <v>50</v>
      </c>
      <c r="J8" s="17">
        <v>0.9</v>
      </c>
      <c r="K8" s="46" t="s">
        <v>50</v>
      </c>
      <c r="L8" s="17">
        <v>0.9</v>
      </c>
      <c r="M8" s="46" t="s">
        <v>50</v>
      </c>
      <c r="N8" s="46">
        <v>0.9</v>
      </c>
      <c r="O8" s="18" t="s">
        <v>50</v>
      </c>
      <c r="P8" s="46">
        <v>0.9</v>
      </c>
      <c r="Q8" s="18" t="s">
        <v>50</v>
      </c>
    </row>
    <row r="9" spans="1:17" ht="15">
      <c r="A9" s="51" t="s">
        <v>5</v>
      </c>
      <c r="B9" s="30" t="s">
        <v>50</v>
      </c>
      <c r="C9" s="31">
        <f>64/(0.001)</f>
        <v>64000</v>
      </c>
      <c r="D9" s="30" t="s">
        <v>50</v>
      </c>
      <c r="E9" s="31">
        <f>64/(0.001)</f>
        <v>64000</v>
      </c>
      <c r="F9" s="52" t="s">
        <v>50</v>
      </c>
      <c r="G9" s="31">
        <f>2/(0.5*0.001)</f>
        <v>4000</v>
      </c>
      <c r="H9" s="52" t="s">
        <v>50</v>
      </c>
      <c r="I9" s="31">
        <f>2/(0.5*0.001)</f>
        <v>4000</v>
      </c>
      <c r="J9" s="30" t="s">
        <v>50</v>
      </c>
      <c r="K9" s="31">
        <f>64/(0.001)</f>
        <v>64000</v>
      </c>
      <c r="L9" s="30" t="s">
        <v>50</v>
      </c>
      <c r="M9" s="31">
        <f>64/(0.001)</f>
        <v>64000</v>
      </c>
      <c r="N9" s="52" t="s">
        <v>50</v>
      </c>
      <c r="O9" s="31">
        <f>2/(0.5*0.001)</f>
        <v>4000</v>
      </c>
      <c r="P9" s="52" t="s">
        <v>50</v>
      </c>
      <c r="Q9" s="31">
        <f>2/(0.5*0.001)</f>
        <v>4000</v>
      </c>
    </row>
    <row r="10" spans="1:17" ht="15">
      <c r="A10" s="51" t="s">
        <v>6</v>
      </c>
      <c r="B10" s="30">
        <f>2248233*3</f>
        <v>6744699</v>
      </c>
      <c r="C10" s="52" t="s">
        <v>50</v>
      </c>
      <c r="D10" s="30">
        <f>2248233*3</f>
        <v>6744699</v>
      </c>
      <c r="E10" s="52" t="s">
        <v>50</v>
      </c>
      <c r="F10" s="52">
        <f>74880*3</f>
        <v>224640</v>
      </c>
      <c r="G10" s="31" t="s">
        <v>50</v>
      </c>
      <c r="H10" s="52">
        <f>74880*3</f>
        <v>224640</v>
      </c>
      <c r="I10" s="31" t="s">
        <v>50</v>
      </c>
      <c r="J10" s="30">
        <f>2248233*3</f>
        <v>6744699</v>
      </c>
      <c r="K10" s="52" t="s">
        <v>50</v>
      </c>
      <c r="L10" s="30">
        <f>2248233*3</f>
        <v>6744699</v>
      </c>
      <c r="M10" s="52" t="s">
        <v>50</v>
      </c>
      <c r="N10" s="52">
        <f>74880*3</f>
        <v>224640</v>
      </c>
      <c r="O10" s="31" t="s">
        <v>50</v>
      </c>
      <c r="P10" s="52">
        <f>74880*3</f>
        <v>224640</v>
      </c>
      <c r="Q10" s="31" t="s">
        <v>50</v>
      </c>
    </row>
    <row r="11" spans="1:17" ht="30">
      <c r="A11" s="51" t="s">
        <v>7</v>
      </c>
      <c r="B11" s="17" t="s">
        <v>50</v>
      </c>
      <c r="C11" s="46">
        <v>0.01</v>
      </c>
      <c r="D11" s="17" t="s">
        <v>50</v>
      </c>
      <c r="E11" s="46">
        <v>0.01</v>
      </c>
      <c r="F11" s="46" t="s">
        <v>50</v>
      </c>
      <c r="G11" s="18">
        <v>0.01</v>
      </c>
      <c r="H11" s="46" t="s">
        <v>50</v>
      </c>
      <c r="I11" s="18">
        <v>0.01</v>
      </c>
      <c r="J11" s="17" t="s">
        <v>50</v>
      </c>
      <c r="K11" s="46">
        <v>0.01</v>
      </c>
      <c r="L11" s="17" t="s">
        <v>50</v>
      </c>
      <c r="M11" s="46">
        <v>0.01</v>
      </c>
      <c r="N11" s="46" t="s">
        <v>50</v>
      </c>
      <c r="O11" s="18">
        <v>0.01</v>
      </c>
      <c r="P11" s="46" t="s">
        <v>50</v>
      </c>
      <c r="Q11" s="18">
        <v>0.01</v>
      </c>
    </row>
    <row r="12" spans="1:17" ht="30">
      <c r="A12" s="51" t="s">
        <v>8</v>
      </c>
      <c r="B12" s="17">
        <v>0.1</v>
      </c>
      <c r="C12" s="46" t="s">
        <v>50</v>
      </c>
      <c r="D12" s="17">
        <v>0.1</v>
      </c>
      <c r="E12" s="46" t="s">
        <v>50</v>
      </c>
      <c r="F12" s="46">
        <v>0.1</v>
      </c>
      <c r="G12" s="18" t="s">
        <v>50</v>
      </c>
      <c r="H12" s="46">
        <v>0.1</v>
      </c>
      <c r="I12" s="18" t="s">
        <v>50</v>
      </c>
      <c r="J12" s="17">
        <v>0.1</v>
      </c>
      <c r="K12" s="46" t="s">
        <v>50</v>
      </c>
      <c r="L12" s="17">
        <v>0.1</v>
      </c>
      <c r="M12" s="46" t="s">
        <v>50</v>
      </c>
      <c r="N12" s="46">
        <v>0.1</v>
      </c>
      <c r="O12" s="18" t="s">
        <v>50</v>
      </c>
      <c r="P12" s="46">
        <v>0.1</v>
      </c>
      <c r="Q12" s="18" t="s">
        <v>50</v>
      </c>
    </row>
    <row r="13" spans="1:17" ht="16.5">
      <c r="A13" s="51" t="s">
        <v>91</v>
      </c>
      <c r="B13" s="30">
        <f>B10/(B42*(4+2*11/14+1/14)/10)</f>
        <v>0.65101476793248958</v>
      </c>
      <c r="C13" s="52" t="s">
        <v>50</v>
      </c>
      <c r="D13" s="30">
        <f>D10/(D42*(4+2*11/14+1/14)/10)</f>
        <v>0.65101476793248958</v>
      </c>
      <c r="E13" s="52" t="s">
        <v>50</v>
      </c>
      <c r="F13" s="30">
        <f>F10/(F42*(4+2*2/14+1/14)/10)</f>
        <v>0.35803278688524592</v>
      </c>
      <c r="G13" s="31" t="s">
        <v>50</v>
      </c>
      <c r="H13" s="30">
        <f>H10/(H42*(4+2*2/14+1/14)/10)</f>
        <v>0.35803278688524592</v>
      </c>
      <c r="I13" s="31" t="s">
        <v>50</v>
      </c>
      <c r="J13" s="30">
        <f>J10/(J42*(4+2*11/14+1/14)/10)</f>
        <v>0.65101476793248958</v>
      </c>
      <c r="K13" s="52" t="s">
        <v>50</v>
      </c>
      <c r="L13" s="30">
        <f>L10/(L42*(4+2*11/14+1/14)/10)</f>
        <v>0.65101476793248958</v>
      </c>
      <c r="M13" s="52" t="s">
        <v>50</v>
      </c>
      <c r="N13" s="30">
        <f>N10/(N42*(4+2*2/14+1/14)/10)</f>
        <v>0.35803278688524592</v>
      </c>
      <c r="O13" s="31" t="s">
        <v>50</v>
      </c>
      <c r="P13" s="30">
        <f>P10/(P42*(4+2*2/14+1/14)/10)</f>
        <v>0.35803278688524592</v>
      </c>
      <c r="Q13" s="31" t="s">
        <v>50</v>
      </c>
    </row>
    <row r="14" spans="1:17" ht="16.5">
      <c r="A14" s="51" t="s">
        <v>92</v>
      </c>
      <c r="B14" s="52" t="s">
        <v>81</v>
      </c>
      <c r="C14" s="52" t="s">
        <v>81</v>
      </c>
      <c r="D14" s="52" t="s">
        <v>82</v>
      </c>
      <c r="E14" s="52" t="s">
        <v>82</v>
      </c>
      <c r="F14" s="52" t="s">
        <v>81</v>
      </c>
      <c r="G14" s="52" t="s">
        <v>81</v>
      </c>
      <c r="H14" s="52" t="s">
        <v>82</v>
      </c>
      <c r="I14" s="52" t="s">
        <v>82</v>
      </c>
      <c r="J14" s="52" t="s">
        <v>159</v>
      </c>
      <c r="K14" s="52" t="s">
        <v>159</v>
      </c>
      <c r="L14" s="52" t="s">
        <v>160</v>
      </c>
      <c r="M14" s="52" t="s">
        <v>160</v>
      </c>
      <c r="N14" s="52" t="s">
        <v>159</v>
      </c>
      <c r="O14" s="52" t="s">
        <v>159</v>
      </c>
      <c r="P14" s="52" t="s">
        <v>160</v>
      </c>
      <c r="Q14" s="52" t="s">
        <v>160</v>
      </c>
    </row>
    <row r="15" spans="1:17" ht="15">
      <c r="A15" s="51" t="s">
        <v>80</v>
      </c>
      <c r="B15" s="30">
        <v>120</v>
      </c>
      <c r="C15" s="31">
        <v>120</v>
      </c>
      <c r="D15" s="30">
        <v>3</v>
      </c>
      <c r="E15" s="31">
        <v>3</v>
      </c>
      <c r="F15" s="30">
        <v>120</v>
      </c>
      <c r="G15" s="31">
        <v>120</v>
      </c>
      <c r="H15" s="31">
        <v>3</v>
      </c>
      <c r="I15" s="31">
        <v>3</v>
      </c>
      <c r="J15" s="30">
        <v>120</v>
      </c>
      <c r="K15" s="31">
        <v>120</v>
      </c>
      <c r="L15" s="30">
        <v>3</v>
      </c>
      <c r="M15" s="31">
        <v>3</v>
      </c>
      <c r="N15" s="30">
        <v>120</v>
      </c>
      <c r="O15" s="31">
        <v>120</v>
      </c>
      <c r="P15" s="31">
        <v>3</v>
      </c>
      <c r="Q15" s="31">
        <v>3</v>
      </c>
    </row>
    <row r="16" spans="1:17" ht="15">
      <c r="A16" s="51" t="s">
        <v>9</v>
      </c>
      <c r="B16" s="30">
        <v>3</v>
      </c>
      <c r="C16" s="52">
        <v>3</v>
      </c>
      <c r="D16" s="30">
        <v>3</v>
      </c>
      <c r="E16" s="52">
        <v>3</v>
      </c>
      <c r="F16" s="52">
        <v>3</v>
      </c>
      <c r="G16" s="31">
        <v>3</v>
      </c>
      <c r="H16" s="52">
        <v>3</v>
      </c>
      <c r="I16" s="31">
        <v>3</v>
      </c>
      <c r="J16" s="30">
        <v>3</v>
      </c>
      <c r="K16" s="52">
        <v>3</v>
      </c>
      <c r="L16" s="30">
        <v>3</v>
      </c>
      <c r="M16" s="52">
        <v>3</v>
      </c>
      <c r="N16" s="52">
        <v>3</v>
      </c>
      <c r="O16" s="31">
        <v>3</v>
      </c>
      <c r="P16" s="52">
        <v>3</v>
      </c>
      <c r="Q16" s="31">
        <v>3</v>
      </c>
    </row>
    <row r="17" spans="1:17">
      <c r="A17" s="33" t="s">
        <v>10</v>
      </c>
      <c r="B17" s="50"/>
      <c r="C17" s="50"/>
      <c r="D17" s="50"/>
      <c r="E17" s="50"/>
      <c r="F17" s="50"/>
      <c r="G17" s="50"/>
      <c r="H17" s="50"/>
      <c r="I17" s="50"/>
      <c r="J17" s="50"/>
      <c r="K17" s="50"/>
      <c r="L17" s="50"/>
      <c r="M17" s="50"/>
      <c r="N17" s="50"/>
      <c r="O17" s="50"/>
      <c r="P17" s="50"/>
      <c r="Q17" s="50"/>
    </row>
    <row r="18" spans="1:17" ht="30">
      <c r="A18" s="51" t="s">
        <v>78</v>
      </c>
      <c r="B18" s="30">
        <v>64</v>
      </c>
      <c r="C18" s="52">
        <v>64</v>
      </c>
      <c r="D18" s="30">
        <v>64</v>
      </c>
      <c r="E18" s="52">
        <v>64</v>
      </c>
      <c r="F18" s="31">
        <v>1</v>
      </c>
      <c r="G18" s="52">
        <v>1</v>
      </c>
      <c r="H18" s="31">
        <v>1</v>
      </c>
      <c r="I18" s="52">
        <v>1</v>
      </c>
      <c r="J18" s="30">
        <v>64</v>
      </c>
      <c r="K18" s="52">
        <v>64</v>
      </c>
      <c r="L18" s="30">
        <v>64</v>
      </c>
      <c r="M18" s="52">
        <v>64</v>
      </c>
      <c r="N18" s="31">
        <v>1</v>
      </c>
      <c r="O18" s="52">
        <v>1</v>
      </c>
      <c r="P18" s="31">
        <v>1</v>
      </c>
      <c r="Q18" s="52">
        <v>1</v>
      </c>
    </row>
    <row r="19" spans="1:17" ht="15">
      <c r="A19" s="51" t="s">
        <v>106</v>
      </c>
      <c r="B19" s="30">
        <v>2</v>
      </c>
      <c r="C19" s="52">
        <v>2</v>
      </c>
      <c r="D19" s="30">
        <v>2</v>
      </c>
      <c r="E19" s="52">
        <v>2</v>
      </c>
      <c r="F19" s="31">
        <v>1</v>
      </c>
      <c r="G19" s="52">
        <v>1</v>
      </c>
      <c r="H19" s="31">
        <v>1</v>
      </c>
      <c r="I19" s="52">
        <v>1</v>
      </c>
      <c r="J19" s="30">
        <v>2</v>
      </c>
      <c r="K19" s="52">
        <v>2</v>
      </c>
      <c r="L19" s="30">
        <v>2</v>
      </c>
      <c r="M19" s="52">
        <v>2</v>
      </c>
      <c r="N19" s="31">
        <v>1</v>
      </c>
      <c r="O19" s="52">
        <v>1</v>
      </c>
      <c r="P19" s="31">
        <v>1</v>
      </c>
      <c r="Q19" s="52">
        <v>1</v>
      </c>
    </row>
    <row r="20" spans="1:17" ht="15">
      <c r="A20" s="51" t="s">
        <v>11</v>
      </c>
      <c r="B20" s="30">
        <v>31</v>
      </c>
      <c r="C20" s="52">
        <v>31</v>
      </c>
      <c r="D20" s="30">
        <v>31</v>
      </c>
      <c r="E20" s="52">
        <v>31</v>
      </c>
      <c r="F20" s="31">
        <v>23</v>
      </c>
      <c r="G20" s="52">
        <v>23</v>
      </c>
      <c r="H20" s="31">
        <v>23</v>
      </c>
      <c r="I20" s="52">
        <v>23</v>
      </c>
      <c r="J20" s="30">
        <v>31</v>
      </c>
      <c r="K20" s="52">
        <v>31</v>
      </c>
      <c r="L20" s="30">
        <v>31</v>
      </c>
      <c r="M20" s="52">
        <v>31</v>
      </c>
      <c r="N20" s="31">
        <v>23</v>
      </c>
      <c r="O20" s="52">
        <v>23</v>
      </c>
      <c r="P20" s="31">
        <v>23</v>
      </c>
      <c r="Q20" s="52">
        <v>23</v>
      </c>
    </row>
    <row r="21" spans="1:17" ht="30">
      <c r="A21" s="53" t="s">
        <v>79</v>
      </c>
      <c r="B21" s="36">
        <f t="shared" ref="B21:Q21" si="0">B20+10*LOG10(B18)</f>
        <v>49.061799739838875</v>
      </c>
      <c r="C21" s="36">
        <f t="shared" si="0"/>
        <v>49.061799739838875</v>
      </c>
      <c r="D21" s="36">
        <f t="shared" si="0"/>
        <v>49.061799739838875</v>
      </c>
      <c r="E21" s="36">
        <f t="shared" si="0"/>
        <v>49.061799739838875</v>
      </c>
      <c r="F21" s="36">
        <f t="shared" si="0"/>
        <v>23</v>
      </c>
      <c r="G21" s="36">
        <f t="shared" si="0"/>
        <v>23</v>
      </c>
      <c r="H21" s="36">
        <f t="shared" si="0"/>
        <v>23</v>
      </c>
      <c r="I21" s="36">
        <f t="shared" si="0"/>
        <v>23</v>
      </c>
      <c r="J21" s="36">
        <f t="shared" si="0"/>
        <v>49.061799739838875</v>
      </c>
      <c r="K21" s="36">
        <f t="shared" si="0"/>
        <v>49.061799739838875</v>
      </c>
      <c r="L21" s="36">
        <f t="shared" si="0"/>
        <v>49.061799739838875</v>
      </c>
      <c r="M21" s="36">
        <f t="shared" si="0"/>
        <v>49.061799739838875</v>
      </c>
      <c r="N21" s="36">
        <f t="shared" si="0"/>
        <v>23</v>
      </c>
      <c r="O21" s="36">
        <f t="shared" si="0"/>
        <v>23</v>
      </c>
      <c r="P21" s="36">
        <f t="shared" si="0"/>
        <v>23</v>
      </c>
      <c r="Q21" s="36">
        <f t="shared" si="0"/>
        <v>23</v>
      </c>
    </row>
    <row r="22" spans="1:17" ht="15">
      <c r="A22" s="51" t="s">
        <v>12</v>
      </c>
      <c r="B22" s="30">
        <v>8</v>
      </c>
      <c r="C22" s="52">
        <v>8</v>
      </c>
      <c r="D22" s="30">
        <v>8</v>
      </c>
      <c r="E22" s="52">
        <v>8</v>
      </c>
      <c r="F22" s="31">
        <v>0</v>
      </c>
      <c r="G22" s="52">
        <v>0</v>
      </c>
      <c r="H22" s="31">
        <v>0</v>
      </c>
      <c r="I22" s="52">
        <v>0</v>
      </c>
      <c r="J22" s="30">
        <v>8</v>
      </c>
      <c r="K22" s="52">
        <v>8</v>
      </c>
      <c r="L22" s="30">
        <v>8</v>
      </c>
      <c r="M22" s="52">
        <v>8</v>
      </c>
      <c r="N22" s="31">
        <v>0</v>
      </c>
      <c r="O22" s="52">
        <v>0</v>
      </c>
      <c r="P22" s="31">
        <v>0</v>
      </c>
      <c r="Q22" s="52">
        <v>0</v>
      </c>
    </row>
    <row r="23" spans="1:17" ht="45">
      <c r="A23" s="54" t="s">
        <v>13</v>
      </c>
      <c r="B23" s="36">
        <f t="shared" ref="B23:Q23" si="1">IF(B18&gt;=2, 10*LOG10(B18/2), 0)</f>
        <v>15.051499783199061</v>
      </c>
      <c r="C23" s="36">
        <f t="shared" si="1"/>
        <v>15.051499783199061</v>
      </c>
      <c r="D23" s="36">
        <f t="shared" si="1"/>
        <v>15.051499783199061</v>
      </c>
      <c r="E23" s="36">
        <f t="shared" si="1"/>
        <v>15.051499783199061</v>
      </c>
      <c r="F23" s="36">
        <f t="shared" si="1"/>
        <v>0</v>
      </c>
      <c r="G23" s="36">
        <f t="shared" si="1"/>
        <v>0</v>
      </c>
      <c r="H23" s="36">
        <f t="shared" si="1"/>
        <v>0</v>
      </c>
      <c r="I23" s="36">
        <f t="shared" si="1"/>
        <v>0</v>
      </c>
      <c r="J23" s="36">
        <f t="shared" si="1"/>
        <v>15.051499783199061</v>
      </c>
      <c r="K23" s="36">
        <f t="shared" si="1"/>
        <v>15.051499783199061</v>
      </c>
      <c r="L23" s="36">
        <f t="shared" si="1"/>
        <v>15.051499783199061</v>
      </c>
      <c r="M23" s="36">
        <f t="shared" si="1"/>
        <v>15.051499783199061</v>
      </c>
      <c r="N23" s="36">
        <f t="shared" si="1"/>
        <v>0</v>
      </c>
      <c r="O23" s="36">
        <f t="shared" si="1"/>
        <v>0</v>
      </c>
      <c r="P23" s="36">
        <f t="shared" si="1"/>
        <v>0</v>
      </c>
      <c r="Q23" s="36">
        <f t="shared" si="1"/>
        <v>0</v>
      </c>
    </row>
    <row r="24" spans="1:17" ht="15">
      <c r="A24" s="51" t="s">
        <v>14</v>
      </c>
      <c r="B24" s="30">
        <v>0</v>
      </c>
      <c r="C24" s="31">
        <v>0</v>
      </c>
      <c r="D24" s="30">
        <v>0</v>
      </c>
      <c r="E24" s="31">
        <v>0</v>
      </c>
      <c r="F24" s="31">
        <v>0</v>
      </c>
      <c r="G24" s="31">
        <v>0</v>
      </c>
      <c r="H24" s="31">
        <v>0</v>
      </c>
      <c r="I24" s="31">
        <v>0</v>
      </c>
      <c r="J24" s="30">
        <v>0</v>
      </c>
      <c r="K24" s="31">
        <v>0</v>
      </c>
      <c r="L24" s="30">
        <v>0</v>
      </c>
      <c r="M24" s="31">
        <v>0</v>
      </c>
      <c r="N24" s="31">
        <v>0</v>
      </c>
      <c r="O24" s="31">
        <v>0</v>
      </c>
      <c r="P24" s="31">
        <v>0</v>
      </c>
      <c r="Q24" s="31">
        <v>0</v>
      </c>
    </row>
    <row r="25" spans="1:17" ht="15">
      <c r="A25" s="51" t="s">
        <v>15</v>
      </c>
      <c r="B25" s="30">
        <v>0</v>
      </c>
      <c r="C25" s="31">
        <v>0</v>
      </c>
      <c r="D25" s="30">
        <v>0</v>
      </c>
      <c r="E25" s="31">
        <v>0</v>
      </c>
      <c r="F25" s="31">
        <v>0</v>
      </c>
      <c r="G25" s="31">
        <v>0</v>
      </c>
      <c r="H25" s="31">
        <v>0</v>
      </c>
      <c r="I25" s="31">
        <v>0</v>
      </c>
      <c r="J25" s="30">
        <v>0</v>
      </c>
      <c r="K25" s="31">
        <v>0</v>
      </c>
      <c r="L25" s="30">
        <v>0</v>
      </c>
      <c r="M25" s="31">
        <v>0</v>
      </c>
      <c r="N25" s="31">
        <v>0</v>
      </c>
      <c r="O25" s="31">
        <v>0</v>
      </c>
      <c r="P25" s="31">
        <v>0</v>
      </c>
      <c r="Q25" s="31">
        <v>0</v>
      </c>
    </row>
    <row r="26" spans="1:17" ht="30">
      <c r="A26" s="77" t="s">
        <v>16</v>
      </c>
      <c r="B26" s="30">
        <v>3</v>
      </c>
      <c r="C26" s="30">
        <v>3</v>
      </c>
      <c r="D26" s="30">
        <v>3</v>
      </c>
      <c r="E26" s="30">
        <v>3</v>
      </c>
      <c r="F26" s="30">
        <v>1</v>
      </c>
      <c r="G26" s="30">
        <v>1</v>
      </c>
      <c r="H26" s="30">
        <v>1</v>
      </c>
      <c r="I26" s="30">
        <v>1</v>
      </c>
      <c r="J26" s="30">
        <v>3</v>
      </c>
      <c r="K26" s="30">
        <v>3</v>
      </c>
      <c r="L26" s="30">
        <v>3</v>
      </c>
      <c r="M26" s="30">
        <v>3</v>
      </c>
      <c r="N26" s="30">
        <v>1</v>
      </c>
      <c r="O26" s="30">
        <v>1</v>
      </c>
      <c r="P26" s="30">
        <v>1</v>
      </c>
      <c r="Q26" s="30">
        <v>1</v>
      </c>
    </row>
    <row r="27" spans="1:17" ht="15">
      <c r="A27" s="55" t="s">
        <v>17</v>
      </c>
      <c r="B27" s="35">
        <f t="shared" ref="B27:Q27" si="2">B21+B22+B23+B24-B26</f>
        <v>69.113299523037938</v>
      </c>
      <c r="C27" s="35">
        <f t="shared" si="2"/>
        <v>69.113299523037938</v>
      </c>
      <c r="D27" s="35">
        <f t="shared" si="2"/>
        <v>69.113299523037938</v>
      </c>
      <c r="E27" s="35">
        <f t="shared" si="2"/>
        <v>69.113299523037938</v>
      </c>
      <c r="F27" s="35">
        <f t="shared" si="2"/>
        <v>22</v>
      </c>
      <c r="G27" s="35">
        <f t="shared" si="2"/>
        <v>22</v>
      </c>
      <c r="H27" s="35">
        <f t="shared" si="2"/>
        <v>22</v>
      </c>
      <c r="I27" s="35">
        <f t="shared" si="2"/>
        <v>22</v>
      </c>
      <c r="J27" s="35">
        <f t="shared" si="2"/>
        <v>69.113299523037938</v>
      </c>
      <c r="K27" s="35">
        <f t="shared" si="2"/>
        <v>69.113299523037938</v>
      </c>
      <c r="L27" s="35">
        <f t="shared" si="2"/>
        <v>69.113299523037938</v>
      </c>
      <c r="M27" s="35">
        <f t="shared" si="2"/>
        <v>69.113299523037938</v>
      </c>
      <c r="N27" s="35">
        <f t="shared" si="2"/>
        <v>22</v>
      </c>
      <c r="O27" s="35">
        <f t="shared" si="2"/>
        <v>22</v>
      </c>
      <c r="P27" s="35">
        <f t="shared" si="2"/>
        <v>22</v>
      </c>
      <c r="Q27" s="35">
        <f t="shared" si="2"/>
        <v>22</v>
      </c>
    </row>
    <row r="28" spans="1:17" ht="15">
      <c r="A28" s="55" t="s">
        <v>18</v>
      </c>
      <c r="B28" s="35">
        <f t="shared" ref="B28:Q28" si="3">B21+B22+B23-B25-B26</f>
        <v>69.113299523037938</v>
      </c>
      <c r="C28" s="35">
        <f t="shared" si="3"/>
        <v>69.113299523037938</v>
      </c>
      <c r="D28" s="35">
        <f t="shared" si="3"/>
        <v>69.113299523037938</v>
      </c>
      <c r="E28" s="35">
        <f t="shared" si="3"/>
        <v>69.113299523037938</v>
      </c>
      <c r="F28" s="35">
        <f t="shared" si="3"/>
        <v>22</v>
      </c>
      <c r="G28" s="35">
        <f t="shared" si="3"/>
        <v>22</v>
      </c>
      <c r="H28" s="35">
        <f t="shared" si="3"/>
        <v>22</v>
      </c>
      <c r="I28" s="35">
        <f t="shared" si="3"/>
        <v>22</v>
      </c>
      <c r="J28" s="35">
        <f t="shared" si="3"/>
        <v>69.113299523037938</v>
      </c>
      <c r="K28" s="35">
        <f t="shared" si="3"/>
        <v>69.113299523037938</v>
      </c>
      <c r="L28" s="35">
        <f t="shared" si="3"/>
        <v>69.113299523037938</v>
      </c>
      <c r="M28" s="35">
        <f t="shared" si="3"/>
        <v>69.113299523037938</v>
      </c>
      <c r="N28" s="35">
        <f t="shared" si="3"/>
        <v>22</v>
      </c>
      <c r="O28" s="35">
        <f t="shared" si="3"/>
        <v>22</v>
      </c>
      <c r="P28" s="35">
        <f t="shared" si="3"/>
        <v>22</v>
      </c>
      <c r="Q28" s="35">
        <f t="shared" si="3"/>
        <v>22</v>
      </c>
    </row>
    <row r="29" spans="1:17">
      <c r="A29" s="33" t="s">
        <v>19</v>
      </c>
      <c r="B29" s="50"/>
      <c r="C29" s="50"/>
      <c r="D29" s="50"/>
      <c r="E29" s="50"/>
      <c r="F29" s="50"/>
      <c r="G29" s="50"/>
      <c r="H29" s="50"/>
      <c r="I29" s="50"/>
      <c r="J29" s="50"/>
      <c r="K29" s="50"/>
      <c r="L29" s="50"/>
      <c r="M29" s="50"/>
      <c r="N29" s="50"/>
      <c r="O29" s="50"/>
      <c r="P29" s="50"/>
      <c r="Q29" s="50"/>
    </row>
    <row r="30" spans="1:17" ht="30">
      <c r="A30" s="51" t="s">
        <v>77</v>
      </c>
      <c r="B30" s="30">
        <v>2</v>
      </c>
      <c r="C30" s="52">
        <v>2</v>
      </c>
      <c r="D30" s="30">
        <v>2</v>
      </c>
      <c r="E30" s="52">
        <v>2</v>
      </c>
      <c r="F30" s="52">
        <v>64</v>
      </c>
      <c r="G30" s="52">
        <v>64</v>
      </c>
      <c r="H30" s="52">
        <v>64</v>
      </c>
      <c r="I30" s="52">
        <v>64</v>
      </c>
      <c r="J30" s="30">
        <v>2</v>
      </c>
      <c r="K30" s="52">
        <v>2</v>
      </c>
      <c r="L30" s="30">
        <v>2</v>
      </c>
      <c r="M30" s="52">
        <v>2</v>
      </c>
      <c r="N30" s="52">
        <v>64</v>
      </c>
      <c r="O30" s="52">
        <v>64</v>
      </c>
      <c r="P30" s="52">
        <v>64</v>
      </c>
      <c r="Q30" s="52">
        <v>64</v>
      </c>
    </row>
    <row r="31" spans="1:17" ht="15">
      <c r="A31" s="51" t="s">
        <v>140</v>
      </c>
      <c r="B31" s="30">
        <v>2</v>
      </c>
      <c r="C31" s="52">
        <v>2</v>
      </c>
      <c r="D31" s="30">
        <v>2</v>
      </c>
      <c r="E31" s="52">
        <v>2</v>
      </c>
      <c r="F31" s="52">
        <v>2</v>
      </c>
      <c r="G31" s="52">
        <v>2</v>
      </c>
      <c r="H31" s="52">
        <v>2</v>
      </c>
      <c r="I31" s="52">
        <v>2</v>
      </c>
      <c r="J31" s="30">
        <v>2</v>
      </c>
      <c r="K31" s="52">
        <v>2</v>
      </c>
      <c r="L31" s="30">
        <v>2</v>
      </c>
      <c r="M31" s="52">
        <v>2</v>
      </c>
      <c r="N31" s="52">
        <v>2</v>
      </c>
      <c r="O31" s="52">
        <v>2</v>
      </c>
      <c r="P31" s="52">
        <v>2</v>
      </c>
      <c r="Q31" s="52">
        <v>2</v>
      </c>
    </row>
    <row r="32" spans="1:17" ht="15">
      <c r="A32" s="51" t="s">
        <v>20</v>
      </c>
      <c r="B32" s="30">
        <v>0</v>
      </c>
      <c r="C32" s="52">
        <v>0</v>
      </c>
      <c r="D32" s="30">
        <v>0</v>
      </c>
      <c r="E32" s="52">
        <v>0</v>
      </c>
      <c r="F32" s="52">
        <v>8</v>
      </c>
      <c r="G32" s="52">
        <v>8</v>
      </c>
      <c r="H32" s="52">
        <v>8</v>
      </c>
      <c r="I32" s="52">
        <v>8</v>
      </c>
      <c r="J32" s="30">
        <v>0</v>
      </c>
      <c r="K32" s="52">
        <v>0</v>
      </c>
      <c r="L32" s="30">
        <v>0</v>
      </c>
      <c r="M32" s="52">
        <v>0</v>
      </c>
      <c r="N32" s="52">
        <v>8</v>
      </c>
      <c r="O32" s="52">
        <v>8</v>
      </c>
      <c r="P32" s="52">
        <v>8</v>
      </c>
      <c r="Q32" s="52">
        <v>8</v>
      </c>
    </row>
    <row r="33" spans="1:17" ht="42.75">
      <c r="A33" s="56" t="s">
        <v>143</v>
      </c>
      <c r="B33" s="36">
        <f t="shared" ref="B33:Q33" si="4">IF(B30&gt;=2, 10*LOG10(B30/2), 0)</f>
        <v>0</v>
      </c>
      <c r="C33" s="36">
        <f t="shared" si="4"/>
        <v>0</v>
      </c>
      <c r="D33" s="36">
        <f t="shared" si="4"/>
        <v>0</v>
      </c>
      <c r="E33" s="36">
        <f t="shared" si="4"/>
        <v>0</v>
      </c>
      <c r="F33" s="36">
        <f t="shared" si="4"/>
        <v>15.051499783199061</v>
      </c>
      <c r="G33" s="36">
        <f t="shared" si="4"/>
        <v>15.051499783199061</v>
      </c>
      <c r="H33" s="36">
        <f t="shared" si="4"/>
        <v>15.051499783199061</v>
      </c>
      <c r="I33" s="36">
        <f t="shared" si="4"/>
        <v>15.051499783199061</v>
      </c>
      <c r="J33" s="36">
        <f t="shared" si="4"/>
        <v>0</v>
      </c>
      <c r="K33" s="36">
        <f t="shared" si="4"/>
        <v>0</v>
      </c>
      <c r="L33" s="36">
        <f t="shared" si="4"/>
        <v>0</v>
      </c>
      <c r="M33" s="36">
        <f t="shared" si="4"/>
        <v>0</v>
      </c>
      <c r="N33" s="36">
        <f t="shared" si="4"/>
        <v>15.051499783199061</v>
      </c>
      <c r="O33" s="36">
        <f t="shared" si="4"/>
        <v>15.051499783199061</v>
      </c>
      <c r="P33" s="36">
        <f t="shared" si="4"/>
        <v>15.051499783199061</v>
      </c>
      <c r="Q33" s="36">
        <f t="shared" si="4"/>
        <v>15.051499783199061</v>
      </c>
    </row>
    <row r="34" spans="1:17" ht="30">
      <c r="A34" s="77" t="s">
        <v>21</v>
      </c>
      <c r="B34" s="30">
        <v>1</v>
      </c>
      <c r="C34" s="32">
        <v>1</v>
      </c>
      <c r="D34" s="30">
        <v>1</v>
      </c>
      <c r="E34" s="32">
        <v>1</v>
      </c>
      <c r="F34" s="30">
        <v>3</v>
      </c>
      <c r="G34" s="30">
        <v>3</v>
      </c>
      <c r="H34" s="30">
        <v>3</v>
      </c>
      <c r="I34" s="30">
        <v>3</v>
      </c>
      <c r="J34" s="30">
        <v>1</v>
      </c>
      <c r="K34" s="32">
        <v>1</v>
      </c>
      <c r="L34" s="30">
        <v>1</v>
      </c>
      <c r="M34" s="32">
        <v>1</v>
      </c>
      <c r="N34" s="30">
        <v>3</v>
      </c>
      <c r="O34" s="30">
        <v>3</v>
      </c>
      <c r="P34" s="30">
        <v>3</v>
      </c>
      <c r="Q34" s="30">
        <v>3</v>
      </c>
    </row>
    <row r="35" spans="1:17" ht="15">
      <c r="A35" s="51" t="s">
        <v>22</v>
      </c>
      <c r="B35" s="31">
        <v>7</v>
      </c>
      <c r="C35" s="31">
        <v>7</v>
      </c>
      <c r="D35" s="31">
        <v>7</v>
      </c>
      <c r="E35" s="31">
        <v>7</v>
      </c>
      <c r="F35" s="31">
        <v>5</v>
      </c>
      <c r="G35" s="31">
        <v>5</v>
      </c>
      <c r="H35" s="31">
        <v>5</v>
      </c>
      <c r="I35" s="31">
        <v>5</v>
      </c>
      <c r="J35" s="31">
        <v>7</v>
      </c>
      <c r="K35" s="31">
        <v>7</v>
      </c>
      <c r="L35" s="31">
        <v>7</v>
      </c>
      <c r="M35" s="31">
        <v>7</v>
      </c>
      <c r="N35" s="31">
        <v>5</v>
      </c>
      <c r="O35" s="31">
        <v>5</v>
      </c>
      <c r="P35" s="31">
        <v>5</v>
      </c>
      <c r="Q35" s="31">
        <v>5</v>
      </c>
    </row>
    <row r="36" spans="1:17" ht="15">
      <c r="A36" s="51" t="s">
        <v>23</v>
      </c>
      <c r="B36" s="31">
        <v>-174</v>
      </c>
      <c r="C36" s="31">
        <v>-174</v>
      </c>
      <c r="D36" s="31">
        <v>-174</v>
      </c>
      <c r="E36" s="31">
        <v>-174</v>
      </c>
      <c r="F36" s="30">
        <v>-174</v>
      </c>
      <c r="G36" s="31">
        <v>-174</v>
      </c>
      <c r="H36" s="30">
        <v>-174</v>
      </c>
      <c r="I36" s="31">
        <v>-174</v>
      </c>
      <c r="J36" s="31">
        <v>-174</v>
      </c>
      <c r="K36" s="31">
        <v>-174</v>
      </c>
      <c r="L36" s="31">
        <v>-174</v>
      </c>
      <c r="M36" s="31">
        <v>-174</v>
      </c>
      <c r="N36" s="30">
        <v>-174</v>
      </c>
      <c r="O36" s="31">
        <v>-174</v>
      </c>
      <c r="P36" s="30">
        <v>-174</v>
      </c>
      <c r="Q36" s="31">
        <v>-174</v>
      </c>
    </row>
    <row r="37" spans="1:17" ht="15">
      <c r="A37" s="51" t="s">
        <v>204</v>
      </c>
      <c r="B37" s="30" t="s">
        <v>50</v>
      </c>
      <c r="C37" s="31">
        <v>-169.3</v>
      </c>
      <c r="D37" s="30" t="s">
        <v>50</v>
      </c>
      <c r="E37" s="31">
        <v>-169.3</v>
      </c>
      <c r="F37" s="31" t="s">
        <v>50</v>
      </c>
      <c r="G37" s="31">
        <v>-161.69999999999999</v>
      </c>
      <c r="H37" s="31" t="s">
        <v>50</v>
      </c>
      <c r="I37" s="31">
        <v>-161.69999999999999</v>
      </c>
      <c r="J37" s="30" t="s">
        <v>50</v>
      </c>
      <c r="K37" s="31">
        <v>-169.3</v>
      </c>
      <c r="L37" s="30" t="s">
        <v>50</v>
      </c>
      <c r="M37" s="31">
        <v>-169.3</v>
      </c>
      <c r="N37" s="31" t="s">
        <v>50</v>
      </c>
      <c r="O37" s="31">
        <v>-161.69999999999999</v>
      </c>
      <c r="P37" s="31" t="s">
        <v>50</v>
      </c>
      <c r="Q37" s="31">
        <v>-161.69999999999999</v>
      </c>
    </row>
    <row r="38" spans="1:17" ht="15">
      <c r="A38" s="51" t="s">
        <v>24</v>
      </c>
      <c r="B38" s="30">
        <v>-169.3</v>
      </c>
      <c r="C38" s="31" t="s">
        <v>50</v>
      </c>
      <c r="D38" s="30">
        <v>-169.3</v>
      </c>
      <c r="E38" s="31" t="s">
        <v>50</v>
      </c>
      <c r="F38" s="31">
        <v>-165.7</v>
      </c>
      <c r="G38" s="31" t="s">
        <v>50</v>
      </c>
      <c r="H38" s="31">
        <v>-165.7</v>
      </c>
      <c r="I38" s="31" t="s">
        <v>50</v>
      </c>
      <c r="J38" s="30">
        <v>-169.3</v>
      </c>
      <c r="K38" s="31" t="s">
        <v>50</v>
      </c>
      <c r="L38" s="30">
        <v>-169.3</v>
      </c>
      <c r="M38" s="31" t="s">
        <v>50</v>
      </c>
      <c r="N38" s="31">
        <v>-165.7</v>
      </c>
      <c r="O38" s="31" t="s">
        <v>50</v>
      </c>
      <c r="P38" s="31">
        <v>-165.7</v>
      </c>
      <c r="Q38" s="31" t="s">
        <v>50</v>
      </c>
    </row>
    <row r="39" spans="1:17" ht="30">
      <c r="A39" s="57" t="s">
        <v>205</v>
      </c>
      <c r="B39" s="35" t="s">
        <v>50</v>
      </c>
      <c r="C39" s="35">
        <f t="shared" ref="C39:I39" si="5">10*LOG10(10^((C35+C36)/10)+10^(C37/10))</f>
        <v>-164.98918835931039</v>
      </c>
      <c r="D39" s="35" t="s">
        <v>50</v>
      </c>
      <c r="E39" s="35">
        <f t="shared" si="5"/>
        <v>-164.98918835931039</v>
      </c>
      <c r="F39" s="35" t="s">
        <v>50</v>
      </c>
      <c r="G39" s="35">
        <f t="shared" si="5"/>
        <v>-160.9583889004532</v>
      </c>
      <c r="H39" s="35" t="s">
        <v>50</v>
      </c>
      <c r="I39" s="35">
        <f t="shared" si="5"/>
        <v>-160.9583889004532</v>
      </c>
      <c r="J39" s="35" t="s">
        <v>50</v>
      </c>
      <c r="K39" s="35">
        <f t="shared" ref="K39:Q39" si="6">10*LOG10(10^((K35+K36)/10)+10^(K37/10))</f>
        <v>-164.98918835931039</v>
      </c>
      <c r="L39" s="35" t="s">
        <v>50</v>
      </c>
      <c r="M39" s="35">
        <f t="shared" si="6"/>
        <v>-164.98918835931039</v>
      </c>
      <c r="N39" s="35" t="s">
        <v>50</v>
      </c>
      <c r="O39" s="35">
        <f t="shared" si="6"/>
        <v>-160.9583889004532</v>
      </c>
      <c r="P39" s="35" t="s">
        <v>50</v>
      </c>
      <c r="Q39" s="35">
        <f t="shared" si="6"/>
        <v>-160.9583889004532</v>
      </c>
    </row>
    <row r="40" spans="1:17" ht="30">
      <c r="A40" s="57" t="s">
        <v>206</v>
      </c>
      <c r="B40" s="35">
        <f t="shared" ref="B40:H40" si="7">10*LOG10(10^((B35+B36)/10)+10^(B38/10))</f>
        <v>-164.98918835931039</v>
      </c>
      <c r="C40" s="35" t="s">
        <v>50</v>
      </c>
      <c r="D40" s="35">
        <f t="shared" si="7"/>
        <v>-164.98918835931039</v>
      </c>
      <c r="E40" s="35" t="s">
        <v>50</v>
      </c>
      <c r="F40" s="35">
        <f t="shared" si="7"/>
        <v>-164.03352307536667</v>
      </c>
      <c r="G40" s="35" t="s">
        <v>50</v>
      </c>
      <c r="H40" s="35">
        <f t="shared" si="7"/>
        <v>-164.03352307536667</v>
      </c>
      <c r="I40" s="35" t="s">
        <v>50</v>
      </c>
      <c r="J40" s="35">
        <f t="shared" ref="J40:P40" si="8">10*LOG10(10^((J35+J36)/10)+10^(J38/10))</f>
        <v>-164.98918835931039</v>
      </c>
      <c r="K40" s="35" t="s">
        <v>50</v>
      </c>
      <c r="L40" s="35">
        <f t="shared" si="8"/>
        <v>-164.98918835931039</v>
      </c>
      <c r="M40" s="35" t="s">
        <v>50</v>
      </c>
      <c r="N40" s="35">
        <f t="shared" si="8"/>
        <v>-164.03352307536667</v>
      </c>
      <c r="O40" s="35" t="s">
        <v>50</v>
      </c>
      <c r="P40" s="35">
        <f t="shared" si="8"/>
        <v>-164.03352307536667</v>
      </c>
      <c r="Q40" s="35" t="s">
        <v>50</v>
      </c>
    </row>
    <row r="41" spans="1:17" ht="30">
      <c r="A41" s="51" t="s">
        <v>25</v>
      </c>
      <c r="B41" s="30" t="s">
        <v>50</v>
      </c>
      <c r="C41" s="30">
        <f>MaxN_RB!$F$6*12*15*1000</f>
        <v>19080000</v>
      </c>
      <c r="D41" s="30" t="s">
        <v>50</v>
      </c>
      <c r="E41" s="30">
        <f>MaxN_RB!$F$6*12*15*1000</f>
        <v>19080000</v>
      </c>
      <c r="F41" s="52" t="s">
        <v>50</v>
      </c>
      <c r="G41" s="31">
        <f>1*12*30*1000</f>
        <v>360000</v>
      </c>
      <c r="H41" s="52" t="s">
        <v>50</v>
      </c>
      <c r="I41" s="31">
        <f>1*12*30*1000</f>
        <v>360000</v>
      </c>
      <c r="J41" s="30" t="s">
        <v>50</v>
      </c>
      <c r="K41" s="30">
        <f>MaxN_RB!F7*12*30*1000</f>
        <v>18360000</v>
      </c>
      <c r="L41" s="30" t="s">
        <v>50</v>
      </c>
      <c r="M41" s="30">
        <f>MaxN_RB!F7*12*30*1000</f>
        <v>18360000</v>
      </c>
      <c r="N41" s="52" t="s">
        <v>50</v>
      </c>
      <c r="O41" s="31">
        <f>1*12*30*1000</f>
        <v>360000</v>
      </c>
      <c r="P41" s="52" t="s">
        <v>50</v>
      </c>
      <c r="Q41" s="31">
        <f>1*12*30*1000</f>
        <v>360000</v>
      </c>
    </row>
    <row r="42" spans="1:17" ht="30">
      <c r="A42" s="51" t="s">
        <v>26</v>
      </c>
      <c r="B42" s="30">
        <f>MaxN_RB!$F$7*12*30*1000</f>
        <v>18360000</v>
      </c>
      <c r="C42" s="52" t="s">
        <v>50</v>
      </c>
      <c r="D42" s="30">
        <f>MaxN_RB!$F$7*12*30*1000</f>
        <v>18360000</v>
      </c>
      <c r="E42" s="52" t="s">
        <v>50</v>
      </c>
      <c r="F42" s="30">
        <f>4*12*30*1000</f>
        <v>1440000</v>
      </c>
      <c r="G42" s="31" t="s">
        <v>50</v>
      </c>
      <c r="H42" s="30">
        <f>4*12*30*1000</f>
        <v>1440000</v>
      </c>
      <c r="I42" s="31" t="s">
        <v>50</v>
      </c>
      <c r="J42" s="30">
        <f>MaxN_RB!F7*12*30*1000</f>
        <v>18360000</v>
      </c>
      <c r="K42" s="52" t="s">
        <v>50</v>
      </c>
      <c r="L42" s="30">
        <f>MaxN_RB!F7*12*30*1000</f>
        <v>18360000</v>
      </c>
      <c r="M42" s="52" t="s">
        <v>50</v>
      </c>
      <c r="N42" s="30">
        <f>4*12*30*1000</f>
        <v>1440000</v>
      </c>
      <c r="O42" s="31" t="s">
        <v>50</v>
      </c>
      <c r="P42" s="30">
        <f>4*12*30*1000</f>
        <v>1440000</v>
      </c>
      <c r="Q42" s="31" t="s">
        <v>50</v>
      </c>
    </row>
    <row r="43" spans="1:17" ht="30">
      <c r="A43" s="55" t="s">
        <v>27</v>
      </c>
      <c r="B43" s="35" t="s">
        <v>50</v>
      </c>
      <c r="C43" s="35">
        <f t="shared" ref="B43:I44" si="9">C39+10*LOG10(C41)</f>
        <v>-92.18340465562963</v>
      </c>
      <c r="D43" s="35" t="s">
        <v>50</v>
      </c>
      <c r="E43" s="35">
        <f t="shared" si="9"/>
        <v>-92.18340465562963</v>
      </c>
      <c r="F43" s="35" t="s">
        <v>50</v>
      </c>
      <c r="G43" s="35">
        <f t="shared" si="9"/>
        <v>-105.39536389278032</v>
      </c>
      <c r="H43" s="35" t="s">
        <v>50</v>
      </c>
      <c r="I43" s="35">
        <f t="shared" si="9"/>
        <v>-105.39536389278032</v>
      </c>
      <c r="J43" s="35" t="s">
        <v>50</v>
      </c>
      <c r="K43" s="35">
        <f t="shared" ref="J43:Q44" si="10">K39+10*LOG10(K41)</f>
        <v>-92.350461590658156</v>
      </c>
      <c r="L43" s="35" t="s">
        <v>50</v>
      </c>
      <c r="M43" s="35">
        <f t="shared" si="10"/>
        <v>-92.350461590658156</v>
      </c>
      <c r="N43" s="35" t="s">
        <v>50</v>
      </c>
      <c r="O43" s="35">
        <f t="shared" si="10"/>
        <v>-105.39536389278032</v>
      </c>
      <c r="P43" s="35" t="s">
        <v>50</v>
      </c>
      <c r="Q43" s="35">
        <f t="shared" si="10"/>
        <v>-105.39536389278032</v>
      </c>
    </row>
    <row r="44" spans="1:17" ht="30">
      <c r="A44" s="55" t="s">
        <v>28</v>
      </c>
      <c r="B44" s="35">
        <f t="shared" si="9"/>
        <v>-92.350461590658156</v>
      </c>
      <c r="C44" s="35" t="s">
        <v>50</v>
      </c>
      <c r="D44" s="35">
        <f t="shared" si="9"/>
        <v>-92.350461590658156</v>
      </c>
      <c r="E44" s="35" t="s">
        <v>50</v>
      </c>
      <c r="F44" s="35">
        <f t="shared" si="9"/>
        <v>-102.44989815441417</v>
      </c>
      <c r="G44" s="35" t="s">
        <v>50</v>
      </c>
      <c r="H44" s="35">
        <f t="shared" si="9"/>
        <v>-102.44989815441417</v>
      </c>
      <c r="I44" s="35" t="s">
        <v>50</v>
      </c>
      <c r="J44" s="35">
        <f t="shared" si="10"/>
        <v>-92.350461590658156</v>
      </c>
      <c r="K44" s="35" t="s">
        <v>50</v>
      </c>
      <c r="L44" s="35">
        <f t="shared" si="10"/>
        <v>-92.350461590658156</v>
      </c>
      <c r="M44" s="35" t="s">
        <v>50</v>
      </c>
      <c r="N44" s="35">
        <f t="shared" si="10"/>
        <v>-102.44989815441417</v>
      </c>
      <c r="O44" s="35" t="s">
        <v>50</v>
      </c>
      <c r="P44" s="35">
        <f t="shared" si="10"/>
        <v>-102.44989815441417</v>
      </c>
      <c r="Q44" s="35" t="s">
        <v>50</v>
      </c>
    </row>
    <row r="45" spans="1:17" ht="15">
      <c r="A45" s="51" t="s">
        <v>29</v>
      </c>
      <c r="B45" s="30" t="s">
        <v>50</v>
      </c>
      <c r="C45" s="68">
        <v>-4.5999999999999996</v>
      </c>
      <c r="D45" s="68" t="s">
        <v>50</v>
      </c>
      <c r="E45" s="68">
        <v>-4.5</v>
      </c>
      <c r="F45" s="30" t="s">
        <v>50</v>
      </c>
      <c r="G45" s="68">
        <v>-5</v>
      </c>
      <c r="H45" s="68" t="s">
        <v>50</v>
      </c>
      <c r="I45" s="68">
        <v>-7.5</v>
      </c>
      <c r="J45" s="68" t="s">
        <v>50</v>
      </c>
      <c r="K45" s="68">
        <v>-9.4</v>
      </c>
      <c r="L45" s="68" t="s">
        <v>50</v>
      </c>
      <c r="M45" s="68">
        <v>-9.6999999999999993</v>
      </c>
      <c r="N45" s="68" t="s">
        <v>50</v>
      </c>
      <c r="O45" s="68">
        <v>-9.4</v>
      </c>
      <c r="P45" s="68" t="s">
        <v>50</v>
      </c>
      <c r="Q45" s="68">
        <v>-10</v>
      </c>
    </row>
    <row r="46" spans="1:17" ht="15">
      <c r="A46" s="51" t="s">
        <v>30</v>
      </c>
      <c r="B46" s="30">
        <v>2.8</v>
      </c>
      <c r="C46" s="30" t="s">
        <v>50</v>
      </c>
      <c r="D46" s="30">
        <v>-0.5</v>
      </c>
      <c r="E46" s="30" t="s">
        <v>50</v>
      </c>
      <c r="F46" s="68">
        <v>1.28</v>
      </c>
      <c r="G46" s="30" t="s">
        <v>50</v>
      </c>
      <c r="H46" s="68">
        <v>0.45</v>
      </c>
      <c r="I46" s="30" t="s">
        <v>50</v>
      </c>
      <c r="J46" s="68">
        <v>0.2</v>
      </c>
      <c r="K46" s="68" t="s">
        <v>50</v>
      </c>
      <c r="L46" s="68">
        <v>-0.8</v>
      </c>
      <c r="M46" s="68" t="s">
        <v>50</v>
      </c>
      <c r="N46" s="68">
        <v>-2</v>
      </c>
      <c r="O46" s="68" t="s">
        <v>50</v>
      </c>
      <c r="P46" s="68">
        <v>-2</v>
      </c>
      <c r="Q46" s="68" t="s">
        <v>50</v>
      </c>
    </row>
    <row r="47" spans="1:17" ht="15">
      <c r="A47" s="51" t="s">
        <v>31</v>
      </c>
      <c r="B47" s="30">
        <v>2</v>
      </c>
      <c r="C47" s="31">
        <v>2</v>
      </c>
      <c r="D47" s="30">
        <v>2</v>
      </c>
      <c r="E47" s="31">
        <v>2</v>
      </c>
      <c r="F47" s="52">
        <v>2</v>
      </c>
      <c r="G47" s="31">
        <v>2</v>
      </c>
      <c r="H47" s="52">
        <v>2</v>
      </c>
      <c r="I47" s="31">
        <v>2</v>
      </c>
      <c r="J47" s="30">
        <v>2</v>
      </c>
      <c r="K47" s="31">
        <v>2</v>
      </c>
      <c r="L47" s="30">
        <v>2</v>
      </c>
      <c r="M47" s="31">
        <v>2</v>
      </c>
      <c r="N47" s="52">
        <v>2</v>
      </c>
      <c r="O47" s="31">
        <v>2</v>
      </c>
      <c r="P47" s="52">
        <v>2</v>
      </c>
      <c r="Q47" s="31">
        <v>2</v>
      </c>
    </row>
    <row r="48" spans="1:17" ht="15">
      <c r="A48" s="51" t="s">
        <v>32</v>
      </c>
      <c r="B48" s="30" t="s">
        <v>50</v>
      </c>
      <c r="C48" s="31">
        <v>0</v>
      </c>
      <c r="D48" s="30" t="s">
        <v>50</v>
      </c>
      <c r="E48" s="31">
        <v>0</v>
      </c>
      <c r="F48" s="52" t="s">
        <v>50</v>
      </c>
      <c r="G48" s="31">
        <v>0</v>
      </c>
      <c r="H48" s="52" t="s">
        <v>50</v>
      </c>
      <c r="I48" s="31">
        <v>0</v>
      </c>
      <c r="J48" s="30" t="s">
        <v>50</v>
      </c>
      <c r="K48" s="31">
        <v>0</v>
      </c>
      <c r="L48" s="30" t="s">
        <v>50</v>
      </c>
      <c r="M48" s="31">
        <v>0</v>
      </c>
      <c r="N48" s="52" t="s">
        <v>50</v>
      </c>
      <c r="O48" s="31">
        <v>0</v>
      </c>
      <c r="P48" s="52" t="s">
        <v>50</v>
      </c>
      <c r="Q48" s="31">
        <v>0</v>
      </c>
    </row>
    <row r="49" spans="1:17" ht="15">
      <c r="A49" s="51" t="s">
        <v>33</v>
      </c>
      <c r="B49" s="30">
        <v>0.5</v>
      </c>
      <c r="C49" s="31" t="s">
        <v>50</v>
      </c>
      <c r="D49" s="30">
        <v>0.5</v>
      </c>
      <c r="E49" s="31" t="s">
        <v>50</v>
      </c>
      <c r="F49" s="52">
        <v>0.5</v>
      </c>
      <c r="G49" s="31" t="s">
        <v>50</v>
      </c>
      <c r="H49" s="52">
        <v>0.5</v>
      </c>
      <c r="I49" s="31" t="s">
        <v>50</v>
      </c>
      <c r="J49" s="30">
        <v>0.5</v>
      </c>
      <c r="K49" s="31" t="s">
        <v>50</v>
      </c>
      <c r="L49" s="30">
        <v>0.5</v>
      </c>
      <c r="M49" s="31" t="s">
        <v>50</v>
      </c>
      <c r="N49" s="52">
        <v>0.5</v>
      </c>
      <c r="O49" s="31" t="s">
        <v>50</v>
      </c>
      <c r="P49" s="52">
        <v>0.5</v>
      </c>
      <c r="Q49" s="31" t="s">
        <v>50</v>
      </c>
    </row>
    <row r="50" spans="1:17" ht="30">
      <c r="A50" s="57" t="s">
        <v>44</v>
      </c>
      <c r="B50" s="35" t="s">
        <v>50</v>
      </c>
      <c r="C50" s="35">
        <f t="shared" ref="C50:I50" si="11">C43+C45+C47-C48</f>
        <v>-94.783404655629624</v>
      </c>
      <c r="D50" s="35" t="s">
        <v>50</v>
      </c>
      <c r="E50" s="35">
        <f t="shared" si="11"/>
        <v>-94.68340465562963</v>
      </c>
      <c r="F50" s="35" t="s">
        <v>50</v>
      </c>
      <c r="G50" s="35">
        <f t="shared" si="11"/>
        <v>-108.39536389278032</v>
      </c>
      <c r="H50" s="35" t="s">
        <v>50</v>
      </c>
      <c r="I50" s="35">
        <f t="shared" si="11"/>
        <v>-110.89536389278032</v>
      </c>
      <c r="J50" s="35" t="s">
        <v>50</v>
      </c>
      <c r="K50" s="35">
        <f t="shared" ref="K50:Q50" si="12">K43+K45+K47-K48</f>
        <v>-99.750461590658162</v>
      </c>
      <c r="L50" s="35" t="s">
        <v>50</v>
      </c>
      <c r="M50" s="35">
        <f t="shared" si="12"/>
        <v>-100.05046159065816</v>
      </c>
      <c r="N50" s="35" t="s">
        <v>50</v>
      </c>
      <c r="O50" s="35">
        <f t="shared" si="12"/>
        <v>-112.79536389278033</v>
      </c>
      <c r="P50" s="35" t="s">
        <v>50</v>
      </c>
      <c r="Q50" s="35">
        <f t="shared" si="12"/>
        <v>-113.39536389278032</v>
      </c>
    </row>
    <row r="51" spans="1:17" ht="30">
      <c r="A51" s="57" t="s">
        <v>45</v>
      </c>
      <c r="B51" s="35">
        <f>B44+B46+B47-B49</f>
        <v>-88.050461590658159</v>
      </c>
      <c r="C51" s="35" t="s">
        <v>50</v>
      </c>
      <c r="D51" s="35">
        <f t="shared" ref="D51:H51" si="13">D44+D46+D47-D49</f>
        <v>-91.350461590658156</v>
      </c>
      <c r="E51" s="35" t="s">
        <v>50</v>
      </c>
      <c r="F51" s="35">
        <f t="shared" si="13"/>
        <v>-99.66989815441417</v>
      </c>
      <c r="G51" s="35" t="s">
        <v>50</v>
      </c>
      <c r="H51" s="35">
        <f t="shared" si="13"/>
        <v>-100.49989815441417</v>
      </c>
      <c r="I51" s="35" t="s">
        <v>50</v>
      </c>
      <c r="J51" s="35">
        <f>J44+J46+J47-J49</f>
        <v>-90.650461590658153</v>
      </c>
      <c r="K51" s="35" t="s">
        <v>50</v>
      </c>
      <c r="L51" s="35">
        <f t="shared" ref="L51:P51" si="14">L44+L46+L47-L49</f>
        <v>-91.650461590658153</v>
      </c>
      <c r="M51" s="35" t="s">
        <v>50</v>
      </c>
      <c r="N51" s="35">
        <f t="shared" si="14"/>
        <v>-102.94989815441417</v>
      </c>
      <c r="O51" s="35" t="s">
        <v>50</v>
      </c>
      <c r="P51" s="35">
        <f t="shared" si="14"/>
        <v>-102.94989815441417</v>
      </c>
      <c r="Q51" s="35" t="s">
        <v>50</v>
      </c>
    </row>
    <row r="52" spans="1:17" ht="30">
      <c r="A52" s="57" t="s">
        <v>89</v>
      </c>
      <c r="B52" s="35" t="s">
        <v>50</v>
      </c>
      <c r="C52" s="35">
        <f t="shared" ref="C52:I52" si="15">C27+C32+C33-C50</f>
        <v>163.89670417866756</v>
      </c>
      <c r="D52" s="35" t="s">
        <v>50</v>
      </c>
      <c r="E52" s="35">
        <f t="shared" si="15"/>
        <v>163.79670417866757</v>
      </c>
      <c r="F52" s="35" t="s">
        <v>50</v>
      </c>
      <c r="G52" s="35">
        <f t="shared" si="15"/>
        <v>153.44686367597939</v>
      </c>
      <c r="H52" s="35" t="s">
        <v>50</v>
      </c>
      <c r="I52" s="35">
        <f t="shared" si="15"/>
        <v>155.94686367597939</v>
      </c>
      <c r="J52" s="35" t="s">
        <v>50</v>
      </c>
      <c r="K52" s="35">
        <f t="shared" ref="K52:Q52" si="16">K27+K32+K33-K50</f>
        <v>168.86376111369611</v>
      </c>
      <c r="L52" s="35" t="s">
        <v>50</v>
      </c>
      <c r="M52" s="35">
        <f t="shared" si="16"/>
        <v>169.1637611136961</v>
      </c>
      <c r="N52" s="35" t="s">
        <v>50</v>
      </c>
      <c r="O52" s="35">
        <f t="shared" si="16"/>
        <v>157.84686367597939</v>
      </c>
      <c r="P52" s="35" t="s">
        <v>50</v>
      </c>
      <c r="Q52" s="35">
        <f t="shared" si="16"/>
        <v>158.44686367597939</v>
      </c>
    </row>
    <row r="53" spans="1:17" ht="30">
      <c r="A53" s="57" t="s">
        <v>90</v>
      </c>
      <c r="B53" s="35">
        <f t="shared" ref="B53:H53" si="17">B28+B32+B33-B51</f>
        <v>157.1637611136961</v>
      </c>
      <c r="C53" s="35" t="s">
        <v>50</v>
      </c>
      <c r="D53" s="35">
        <f t="shared" si="17"/>
        <v>160.46376111369608</v>
      </c>
      <c r="E53" s="35" t="s">
        <v>50</v>
      </c>
      <c r="F53" s="35">
        <f t="shared" si="17"/>
        <v>144.72139793761323</v>
      </c>
      <c r="G53" s="35" t="s">
        <v>50</v>
      </c>
      <c r="H53" s="35">
        <f t="shared" si="17"/>
        <v>145.55139793761322</v>
      </c>
      <c r="I53" s="35" t="s">
        <v>50</v>
      </c>
      <c r="J53" s="35">
        <f t="shared" ref="J53:P53" si="18">J28+J32+J33-J51</f>
        <v>159.76376111369609</v>
      </c>
      <c r="K53" s="35" t="s">
        <v>50</v>
      </c>
      <c r="L53" s="35">
        <f t="shared" si="18"/>
        <v>160.76376111369609</v>
      </c>
      <c r="M53" s="35" t="s">
        <v>50</v>
      </c>
      <c r="N53" s="35">
        <f t="shared" si="18"/>
        <v>148.00139793761323</v>
      </c>
      <c r="O53" s="35" t="s">
        <v>50</v>
      </c>
      <c r="P53" s="35">
        <f t="shared" si="18"/>
        <v>148.00139793761323</v>
      </c>
      <c r="Q53" s="35" t="s">
        <v>50</v>
      </c>
    </row>
    <row r="54" spans="1:17">
      <c r="A54" s="33" t="s">
        <v>34</v>
      </c>
      <c r="B54" s="50"/>
      <c r="C54" s="50"/>
      <c r="D54" s="50"/>
      <c r="E54" s="50"/>
      <c r="F54" s="50"/>
      <c r="G54" s="50"/>
      <c r="H54" s="50"/>
      <c r="I54" s="50"/>
      <c r="J54" s="50"/>
      <c r="K54" s="50"/>
      <c r="L54" s="50"/>
      <c r="M54" s="50"/>
      <c r="N54" s="50"/>
      <c r="O54" s="50"/>
      <c r="P54" s="50"/>
      <c r="Q54" s="50"/>
    </row>
    <row r="55" spans="1:17" ht="15">
      <c r="A55" s="51" t="s">
        <v>35</v>
      </c>
      <c r="B55" s="52">
        <v>8</v>
      </c>
      <c r="C55" s="52">
        <v>8</v>
      </c>
      <c r="D55" s="52">
        <v>8</v>
      </c>
      <c r="E55" s="52">
        <v>8</v>
      </c>
      <c r="F55" s="52">
        <v>8</v>
      </c>
      <c r="G55" s="52">
        <v>8</v>
      </c>
      <c r="H55" s="52">
        <v>8</v>
      </c>
      <c r="I55" s="52">
        <v>8</v>
      </c>
      <c r="J55" s="70">
        <v>6</v>
      </c>
      <c r="K55" s="70">
        <v>6</v>
      </c>
      <c r="L55" s="70">
        <v>8</v>
      </c>
      <c r="M55" s="70">
        <v>8</v>
      </c>
      <c r="N55" s="70">
        <v>6</v>
      </c>
      <c r="O55" s="70">
        <v>6</v>
      </c>
      <c r="P55" s="70">
        <v>8</v>
      </c>
      <c r="Q55" s="70">
        <v>8</v>
      </c>
    </row>
    <row r="56" spans="1:17" ht="30">
      <c r="A56" s="51" t="s">
        <v>36</v>
      </c>
      <c r="B56" s="38" t="s">
        <v>50</v>
      </c>
      <c r="C56" s="52">
        <v>10.45</v>
      </c>
      <c r="D56" s="52" t="s">
        <v>50</v>
      </c>
      <c r="E56" s="52">
        <v>8.4499999999999993</v>
      </c>
      <c r="F56" s="38" t="s">
        <v>50</v>
      </c>
      <c r="G56" s="52">
        <v>10.45</v>
      </c>
      <c r="H56" s="52" t="s">
        <v>50</v>
      </c>
      <c r="I56" s="52">
        <v>8.4499999999999993</v>
      </c>
      <c r="J56" s="83" t="s">
        <v>50</v>
      </c>
      <c r="K56" s="70">
        <v>8.06</v>
      </c>
      <c r="L56" s="70" t="s">
        <v>50</v>
      </c>
      <c r="M56" s="70">
        <v>8.2899999999999991</v>
      </c>
      <c r="N56" s="83" t="s">
        <v>50</v>
      </c>
      <c r="O56" s="70">
        <v>8.06</v>
      </c>
      <c r="P56" s="70" t="s">
        <v>50</v>
      </c>
      <c r="Q56" s="70">
        <v>8.2899999999999991</v>
      </c>
    </row>
    <row r="57" spans="1:17" ht="30">
      <c r="A57" s="51" t="s">
        <v>37</v>
      </c>
      <c r="B57" s="52">
        <v>6.61</v>
      </c>
      <c r="C57" s="38" t="s">
        <v>50</v>
      </c>
      <c r="D57" s="52">
        <v>5.13</v>
      </c>
      <c r="E57" s="38" t="s">
        <v>50</v>
      </c>
      <c r="F57" s="52">
        <v>6.61</v>
      </c>
      <c r="G57" s="38" t="s">
        <v>50</v>
      </c>
      <c r="H57" s="52">
        <v>5.13</v>
      </c>
      <c r="I57" s="38" t="s">
        <v>50</v>
      </c>
      <c r="J57" s="70">
        <v>4.79</v>
      </c>
      <c r="K57" s="83" t="s">
        <v>50</v>
      </c>
      <c r="L57" s="70">
        <v>5.0199999999999996</v>
      </c>
      <c r="M57" s="83" t="s">
        <v>50</v>
      </c>
      <c r="N57" s="70">
        <v>4.79</v>
      </c>
      <c r="O57" s="83" t="s">
        <v>50</v>
      </c>
      <c r="P57" s="70">
        <v>5.0199999999999996</v>
      </c>
      <c r="Q57" s="83" t="s">
        <v>50</v>
      </c>
    </row>
    <row r="58" spans="1:17" ht="15">
      <c r="A58" s="51" t="s">
        <v>38</v>
      </c>
      <c r="B58" s="32">
        <v>0</v>
      </c>
      <c r="C58" s="32">
        <v>0</v>
      </c>
      <c r="D58" s="32">
        <v>0</v>
      </c>
      <c r="E58" s="32">
        <v>0</v>
      </c>
      <c r="F58" s="32">
        <v>0</v>
      </c>
      <c r="G58" s="32">
        <v>0</v>
      </c>
      <c r="H58" s="32">
        <v>0</v>
      </c>
      <c r="I58" s="32">
        <v>0</v>
      </c>
      <c r="J58" s="69">
        <v>0</v>
      </c>
      <c r="K58" s="69">
        <v>0</v>
      </c>
      <c r="L58" s="69">
        <v>0</v>
      </c>
      <c r="M58" s="69">
        <v>0</v>
      </c>
      <c r="N58" s="69">
        <v>0</v>
      </c>
      <c r="O58" s="69">
        <v>0</v>
      </c>
      <c r="P58" s="69">
        <v>0</v>
      </c>
      <c r="Q58" s="69">
        <v>0</v>
      </c>
    </row>
    <row r="59" spans="1:17" ht="15">
      <c r="A59" s="51" t="s">
        <v>39</v>
      </c>
      <c r="B59" s="32">
        <v>9</v>
      </c>
      <c r="C59" s="32">
        <v>9</v>
      </c>
      <c r="D59" s="32">
        <v>12.5</v>
      </c>
      <c r="E59" s="32">
        <v>12.5</v>
      </c>
      <c r="F59" s="32">
        <v>9</v>
      </c>
      <c r="G59" s="32">
        <v>9</v>
      </c>
      <c r="H59" s="32">
        <v>12.5</v>
      </c>
      <c r="I59" s="32">
        <v>12.5</v>
      </c>
      <c r="J59" s="69">
        <v>9</v>
      </c>
      <c r="K59" s="69">
        <v>9</v>
      </c>
      <c r="L59" s="69">
        <v>12.5</v>
      </c>
      <c r="M59" s="69">
        <v>12.5</v>
      </c>
      <c r="N59" s="69">
        <v>9</v>
      </c>
      <c r="O59" s="69">
        <v>9</v>
      </c>
      <c r="P59" s="69">
        <v>12.5</v>
      </c>
      <c r="Q59" s="69">
        <v>12.5</v>
      </c>
    </row>
    <row r="60" spans="1:17" ht="15">
      <c r="A60" s="51" t="s">
        <v>40</v>
      </c>
      <c r="B60" s="52">
        <v>0</v>
      </c>
      <c r="C60" s="52">
        <v>0</v>
      </c>
      <c r="D60" s="52">
        <v>0</v>
      </c>
      <c r="E60" s="52">
        <v>0</v>
      </c>
      <c r="F60" s="52">
        <v>0</v>
      </c>
      <c r="G60" s="52">
        <v>0</v>
      </c>
      <c r="H60" s="52">
        <v>0</v>
      </c>
      <c r="I60" s="52">
        <v>0</v>
      </c>
      <c r="J60" s="52">
        <v>0</v>
      </c>
      <c r="K60" s="52">
        <v>0</v>
      </c>
      <c r="L60" s="52">
        <v>0</v>
      </c>
      <c r="M60" s="52">
        <v>0</v>
      </c>
      <c r="N60" s="52">
        <v>0</v>
      </c>
      <c r="O60" s="52">
        <v>0</v>
      </c>
      <c r="P60" s="52">
        <v>0</v>
      </c>
      <c r="Q60" s="52">
        <v>0</v>
      </c>
    </row>
    <row r="61" spans="1:17" ht="30">
      <c r="A61" s="57" t="s">
        <v>49</v>
      </c>
      <c r="B61" s="35" t="s">
        <v>50</v>
      </c>
      <c r="C61" s="35">
        <f t="shared" ref="C61:I61" si="19">C52-C56+C58-C59+C60-C34</f>
        <v>143.44670417866757</v>
      </c>
      <c r="D61" s="35" t="s">
        <v>50</v>
      </c>
      <c r="E61" s="35">
        <f t="shared" si="19"/>
        <v>141.84670417866758</v>
      </c>
      <c r="F61" s="35" t="s">
        <v>50</v>
      </c>
      <c r="G61" s="35">
        <f t="shared" si="19"/>
        <v>130.9968636759794</v>
      </c>
      <c r="H61" s="35" t="s">
        <v>50</v>
      </c>
      <c r="I61" s="35">
        <f t="shared" si="19"/>
        <v>131.9968636759794</v>
      </c>
      <c r="J61" s="35" t="s">
        <v>50</v>
      </c>
      <c r="K61" s="35">
        <f t="shared" ref="K61:Q61" si="20">K52-K56+K58-K59+K60-K34</f>
        <v>150.80376111369611</v>
      </c>
      <c r="L61" s="35" t="s">
        <v>50</v>
      </c>
      <c r="M61" s="35">
        <f t="shared" si="20"/>
        <v>147.3737611136961</v>
      </c>
      <c r="N61" s="35" t="s">
        <v>50</v>
      </c>
      <c r="O61" s="35">
        <f t="shared" si="20"/>
        <v>137.78686367597939</v>
      </c>
      <c r="P61" s="35" t="s">
        <v>50</v>
      </c>
      <c r="Q61" s="35">
        <f t="shared" si="20"/>
        <v>134.65686367597939</v>
      </c>
    </row>
    <row r="62" spans="1:17" ht="30">
      <c r="A62" s="57" t="s">
        <v>46</v>
      </c>
      <c r="B62" s="35">
        <f t="shared" ref="B62:H62" si="21">B53-B57+B58-B59+B60-B34</f>
        <v>140.55376111369608</v>
      </c>
      <c r="C62" s="35" t="s">
        <v>50</v>
      </c>
      <c r="D62" s="35">
        <f t="shared" si="21"/>
        <v>141.83376111369608</v>
      </c>
      <c r="E62" s="35" t="s">
        <v>50</v>
      </c>
      <c r="F62" s="35">
        <f t="shared" si="21"/>
        <v>126.11139793761322</v>
      </c>
      <c r="G62" s="35" t="s">
        <v>50</v>
      </c>
      <c r="H62" s="35">
        <f t="shared" si="21"/>
        <v>124.92139793761322</v>
      </c>
      <c r="I62" s="35" t="s">
        <v>50</v>
      </c>
      <c r="J62" s="35">
        <f t="shared" ref="J62:P62" si="22">J53-J57+J58-J59+J60-J34</f>
        <v>144.9737611136961</v>
      </c>
      <c r="K62" s="35" t="s">
        <v>50</v>
      </c>
      <c r="L62" s="35">
        <f t="shared" si="22"/>
        <v>142.24376111369608</v>
      </c>
      <c r="M62" s="35" t="s">
        <v>50</v>
      </c>
      <c r="N62" s="35">
        <f t="shared" si="22"/>
        <v>131.21139793761324</v>
      </c>
      <c r="O62" s="35" t="s">
        <v>50</v>
      </c>
      <c r="P62" s="35">
        <f t="shared" si="22"/>
        <v>127.48139793761322</v>
      </c>
      <c r="Q62" s="35" t="s">
        <v>50</v>
      </c>
    </row>
    <row r="63" spans="1:17">
      <c r="A63" s="33" t="s">
        <v>41</v>
      </c>
      <c r="B63" s="50"/>
      <c r="C63" s="50"/>
      <c r="D63" s="50"/>
      <c r="E63" s="50"/>
      <c r="F63" s="50"/>
      <c r="G63" s="50"/>
      <c r="H63" s="50"/>
      <c r="I63" s="50"/>
      <c r="J63" s="50"/>
      <c r="K63" s="50"/>
      <c r="L63" s="50"/>
      <c r="M63" s="50"/>
      <c r="N63" s="50"/>
      <c r="O63" s="50"/>
      <c r="P63" s="50"/>
      <c r="Q63" s="50"/>
    </row>
    <row r="64" spans="1:17" ht="30">
      <c r="A64" s="58" t="s">
        <v>101</v>
      </c>
      <c r="B64" s="31" t="s">
        <v>50</v>
      </c>
      <c r="C64" s="52">
        <f>10^((C61-161.04+7.1*LOG10(20)-7.5*LOG10(5)+(24.37-3.7*(5/C$5)^2)*LOG10(C$5)-20*LOG10(C$4)+(3.2*(LOG10(11.75*C$6)^2)-4.97))/(43.42-3.1*LOG10(C$5))+3)</f>
        <v>2029.0751854855425</v>
      </c>
      <c r="D64" s="31" t="s">
        <v>50</v>
      </c>
      <c r="E64" s="52">
        <f>10^((E61-161.04+7.1*LOG10(20)-7.5*LOG10(5)+(24.37-3.7*(5/E$5)^2)*LOG10(E$5)-20*LOG10(E$4)+(3.2*(LOG10(11.75*E$6)^2)-4.97))/(43.42-3.1*LOG10(E$5))+3)</f>
        <v>1844.5192265687099</v>
      </c>
      <c r="F64" s="31" t="s">
        <v>50</v>
      </c>
      <c r="G64" s="52">
        <f>10^((G61-161.04+7.1*LOG10(20)-7.5*LOG10(5)+(24.37-3.7*(5/G$5)^2)*LOG10(G$5)-20*LOG10(G$4)+(3.2*(LOG10(11.75*G$6)^2)-4.97))/(43.42-3.1*LOG10(G$5))+3)</f>
        <v>966.14467286009335</v>
      </c>
      <c r="H64" s="31" t="s">
        <v>50</v>
      </c>
      <c r="I64" s="52">
        <f>10^((I61-161.04+7.1*LOG10(20)-7.5*LOG10(5)+(24.37-3.7*(5/I$5)^2)*LOG10(I$5)-20*LOG10(I$4)+(3.2*(LOG10(11.75*I$6)^2)-4.97))/(43.42-3.1*LOG10(I$5))+3)</f>
        <v>1025.4783816813524</v>
      </c>
      <c r="J64" s="31" t="s">
        <v>50</v>
      </c>
      <c r="K64" s="52">
        <f>10^((K61-161.04+7.1*LOG10(20)-7.5*LOG10(5)+(24.37-3.7*(5/K$5)^2)*LOG10(K$5)-20*LOG10(K$4)+(3.2*(LOG10(11.75*K$6)^2)-4.97))/(43.42-3.1*LOG10(K$5))+3)</f>
        <v>3145.7973707756164</v>
      </c>
      <c r="L64" s="31" t="s">
        <v>50</v>
      </c>
      <c r="M64" s="52">
        <f>10^((M61-161.04+7.1*LOG10(20)-7.5*LOG10(5)+(24.37-3.7*(5/M$5)^2)*LOG10(M$5)-20*LOG10(M$4)+(3.2*(LOG10(11.75*M$6)^2)-4.97))/(43.42-3.1*LOG10(M$5))+3)</f>
        <v>2564.173686757058</v>
      </c>
      <c r="N64" s="31" t="s">
        <v>50</v>
      </c>
      <c r="O64" s="52">
        <f>10^((O61-161.04+7.1*LOG10(20)-7.5*LOG10(5)+(24.37-3.7*(5/O$5)^2)*LOG10(O$5)-20*LOG10(O$4)+(3.2*(LOG10(11.75*O$6)^2)-4.97))/(43.42-3.1*LOG10(O$5))+3)</f>
        <v>1448.0943906155044</v>
      </c>
      <c r="P64" s="31" t="s">
        <v>50</v>
      </c>
      <c r="Q64" s="52">
        <f>10^((Q61-161.04+7.1*LOG10(20)-7.5*LOG10(5)+(24.37-3.7*(5/Q$5)^2)*LOG10(Q$5)-20*LOG10(Q$4)+(3.2*(LOG10(11.75*Q$6)^2)-4.97))/(43.42-3.1*LOG10(Q$5))+3)</f>
        <v>1201.6524300448466</v>
      </c>
    </row>
    <row r="65" spans="1:17" ht="30">
      <c r="A65" s="58" t="s">
        <v>102</v>
      </c>
      <c r="B65" s="52">
        <f>10^((B62-161.04+7.1*LOG10(20)-7.5*LOG10(5)+(24.37-3.7*(5/B$5)^2)*LOG10(B$5)-20*LOG10(B$4)+(3.2*(LOG10(11.75*B$6)^2)-4.97))/(43.42-3.1*LOG10(B$5))+3)</f>
        <v>1707.7181773543762</v>
      </c>
      <c r="C65" s="31" t="s">
        <v>50</v>
      </c>
      <c r="D65" s="52">
        <f>10^((D62-161.04+7.1*LOG10(20)-7.5*LOG10(5)+(24.37-3.7*(5/D$5)^2)*LOG10(D$5)-20*LOG10(D$4)+(3.2*(LOG10(11.75*D$6)^2)-4.97))/(43.42-3.1*LOG10(D$5))+3)</f>
        <v>1843.09687911994</v>
      </c>
      <c r="E65" s="31" t="s">
        <v>50</v>
      </c>
      <c r="F65" s="52">
        <f>10^((F62-161.04+7.1*LOG10(20)-7.5*LOG10(5)+(24.37-3.7*(5/F$5)^2)*LOG10(F$5)-20*LOG10(F$4)+(3.2*(LOG10(11.75*F$6)^2)-4.97))/(43.42-3.1*LOG10(F$5))+3)</f>
        <v>722.07960611977001</v>
      </c>
      <c r="G65" s="31" t="s">
        <v>50</v>
      </c>
      <c r="H65" s="52">
        <f>10^((H62-161.04+7.1*LOG10(20)-7.5*LOG10(5)+(24.37-3.7*(5/H$5)^2)*LOG10(H$5)-20*LOG10(H$4)+(3.2*(LOG10(11.75*H$6)^2)-4.97))/(43.42-3.1*LOG10(H$5))+3)</f>
        <v>672.64002760297888</v>
      </c>
      <c r="I65" s="31" t="s">
        <v>50</v>
      </c>
      <c r="J65" s="52">
        <f>10^((J62-161.04+7.1*LOG10(20)-7.5*LOG10(5)+(24.37-3.7*(5/J$5)^2)*LOG10(J$5)-20*LOG10(J$4)+(3.2*(LOG10(11.75*J$6)^2)-4.97))/(43.42-3.1*LOG10(J$5))+3)</f>
        <v>2222.4142311647547</v>
      </c>
      <c r="K65" s="31" t="s">
        <v>50</v>
      </c>
      <c r="L65" s="52">
        <f>10^((L62-161.04+7.1*LOG10(20)-7.5*LOG10(5)+(24.37-3.7*(5/L$5)^2)*LOG10(L$5)-20*LOG10(L$4)+(3.2*(LOG10(11.75*L$6)^2)-4.97))/(43.42-3.1*LOG10(L$5))+3)</f>
        <v>1888.69028102027</v>
      </c>
      <c r="M65" s="31" t="s">
        <v>50</v>
      </c>
      <c r="N65" s="52">
        <f>10^((N62-161.04+7.1*LOG10(20)-7.5*LOG10(5)+(24.37-3.7*(5/N$5)^2)*LOG10(N$5)-20*LOG10(N$4)+(3.2*(LOG10(11.75*N$6)^2)-4.97))/(43.42-3.1*LOG10(N$5))+3)</f>
        <v>978.57753741748968</v>
      </c>
      <c r="O65" s="31" t="s">
        <v>50</v>
      </c>
      <c r="P65" s="52">
        <f>10^((P62-161.04+7.1*LOG10(20)-7.5*LOG10(5)+(24.37-3.7*(5/P$5)^2)*LOG10(P$5)-20*LOG10(P$4)+(3.2*(LOG10(11.75*P$6)^2)-4.97))/(43.42-3.1*LOG10(P$5))+3)</f>
        <v>783.51376909581211</v>
      </c>
      <c r="Q65" s="31" t="s">
        <v>50</v>
      </c>
    </row>
    <row r="66" spans="1:17" ht="18">
      <c r="A66" s="58" t="s">
        <v>94</v>
      </c>
      <c r="B66" s="31" t="s">
        <v>50</v>
      </c>
      <c r="C66" s="31">
        <f>PI()*(C64)^2</f>
        <v>12934395.967758184</v>
      </c>
      <c r="D66" s="31" t="s">
        <v>50</v>
      </c>
      <c r="E66" s="31">
        <f>PI()*(E64)^2</f>
        <v>10688487.303901041</v>
      </c>
      <c r="F66" s="31" t="s">
        <v>50</v>
      </c>
      <c r="G66" s="31">
        <f>PI()*(G64)^2</f>
        <v>2932474.2001791783</v>
      </c>
      <c r="H66" s="31" t="s">
        <v>50</v>
      </c>
      <c r="I66" s="31">
        <f>PI()*(I64)^2</f>
        <v>3303717.4053985025</v>
      </c>
      <c r="J66" s="31" t="s">
        <v>50</v>
      </c>
      <c r="K66" s="31">
        <f>PI()*(K64)^2</f>
        <v>31089330.013032805</v>
      </c>
      <c r="L66" s="31" t="s">
        <v>50</v>
      </c>
      <c r="M66" s="31">
        <f>PI()*(M64)^2</f>
        <v>20655929.901155867</v>
      </c>
      <c r="N66" s="31" t="s">
        <v>50</v>
      </c>
      <c r="O66" s="31">
        <f>PI()*(O64)^2</f>
        <v>6587848.6819014596</v>
      </c>
      <c r="P66" s="31" t="s">
        <v>50</v>
      </c>
      <c r="Q66" s="31">
        <f>PI()*(Q64)^2</f>
        <v>4536361.0283814557</v>
      </c>
    </row>
    <row r="67" spans="1:17" ht="18">
      <c r="A67" s="58" t="s">
        <v>95</v>
      </c>
      <c r="B67" s="31">
        <f>PI()*(B65)^2</f>
        <v>9161830.969908027</v>
      </c>
      <c r="C67" s="31" t="s">
        <v>50</v>
      </c>
      <c r="D67" s="31">
        <f>PI()*(D65)^2</f>
        <v>10672009.426249007</v>
      </c>
      <c r="E67" s="31" t="s">
        <v>50</v>
      </c>
      <c r="F67" s="31">
        <f>PI()*(F65)^2</f>
        <v>1638023.1347041128</v>
      </c>
      <c r="G67" s="31" t="s">
        <v>50</v>
      </c>
      <c r="H67" s="31">
        <f>PI()*(H65)^2</f>
        <v>1421396.6526710286</v>
      </c>
      <c r="I67" s="31" t="s">
        <v>50</v>
      </c>
      <c r="J67" s="31">
        <f>PI()*(J65)^2</f>
        <v>15516718.861919984</v>
      </c>
      <c r="K67" s="31" t="s">
        <v>50</v>
      </c>
      <c r="L67" s="31">
        <f>PI()*(L65)^2</f>
        <v>11206535.30553798</v>
      </c>
      <c r="M67" s="31" t="s">
        <v>50</v>
      </c>
      <c r="N67" s="31">
        <f>PI()*(N65)^2</f>
        <v>3008433.0971271074</v>
      </c>
      <c r="O67" s="31" t="s">
        <v>50</v>
      </c>
      <c r="P67" s="31">
        <f>PI()*(P65)^2</f>
        <v>1928604.3349852667</v>
      </c>
      <c r="Q67" s="31" t="s">
        <v>50</v>
      </c>
    </row>
    <row r="69" spans="1:17">
      <c r="A69" s="59"/>
    </row>
  </sheetData>
  <mergeCells count="4">
    <mergeCell ref="B1:E1"/>
    <mergeCell ref="F1:I1"/>
    <mergeCell ref="J1:M1"/>
    <mergeCell ref="N1:Q1"/>
  </mergeCells>
  <dataValidations disablePrompts="1" count="1">
    <dataValidation type="list" allowBlank="1" showInputMessage="1" showErrorMessage="1" sqref="F34:I34 B26:E26 N34:Q34 J26:M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70" zoomScaleNormal="70" workbookViewId="0">
      <selection activeCell="I3" sqref="I3"/>
    </sheetView>
  </sheetViews>
  <sheetFormatPr defaultColWidth="11" defaultRowHeight="14.25"/>
  <cols>
    <col min="1" max="1" width="48.625" customWidth="1"/>
    <col min="2" max="3" width="14.125" bestFit="1" customWidth="1"/>
    <col min="4" max="5" width="13.125" bestFit="1" customWidth="1"/>
    <col min="6" max="6" width="12.125" bestFit="1" customWidth="1"/>
    <col min="7" max="7" width="11.375" bestFit="1" customWidth="1"/>
    <col min="8" max="9" width="14.125" bestFit="1" customWidth="1"/>
    <col min="10" max="11" width="13.125" bestFit="1" customWidth="1"/>
    <col min="12" max="12" width="12.125" bestFit="1" customWidth="1"/>
    <col min="13" max="13" width="11.375" bestFit="1" customWidth="1"/>
  </cols>
  <sheetData>
    <row r="1" spans="1:13">
      <c r="A1" s="102" t="s">
        <v>0</v>
      </c>
      <c r="B1" s="143" t="s">
        <v>104</v>
      </c>
      <c r="C1" s="144"/>
      <c r="D1" s="144"/>
      <c r="E1" s="144"/>
      <c r="F1" s="144"/>
      <c r="G1" s="145"/>
      <c r="H1" s="143" t="s">
        <v>105</v>
      </c>
      <c r="I1" s="144"/>
      <c r="J1" s="144"/>
      <c r="K1" s="144"/>
      <c r="L1" s="144"/>
      <c r="M1" s="145"/>
    </row>
    <row r="2" spans="1:13" ht="57">
      <c r="A2" s="102"/>
      <c r="B2" s="103" t="s">
        <v>191</v>
      </c>
      <c r="C2" s="103" t="s">
        <v>192</v>
      </c>
      <c r="D2" s="103" t="s">
        <v>193</v>
      </c>
      <c r="E2" s="103" t="s">
        <v>194</v>
      </c>
      <c r="F2" s="103" t="s">
        <v>195</v>
      </c>
      <c r="G2" s="103" t="s">
        <v>196</v>
      </c>
      <c r="H2" s="103" t="s">
        <v>197</v>
      </c>
      <c r="I2" s="103" t="s">
        <v>250</v>
      </c>
      <c r="J2" s="103" t="s">
        <v>198</v>
      </c>
      <c r="K2" s="103" t="s">
        <v>249</v>
      </c>
      <c r="L2" s="103" t="s">
        <v>199</v>
      </c>
      <c r="M2" s="103" t="s">
        <v>248</v>
      </c>
    </row>
    <row r="3" spans="1:13">
      <c r="A3" s="104" t="s">
        <v>1</v>
      </c>
      <c r="B3" s="105"/>
      <c r="C3" s="105"/>
      <c r="D3" s="106"/>
      <c r="E3" s="106"/>
      <c r="F3" s="106"/>
      <c r="G3" s="106"/>
      <c r="H3" s="106"/>
      <c r="I3" s="106"/>
      <c r="J3" s="106"/>
      <c r="K3" s="106"/>
      <c r="L3" s="106"/>
      <c r="M3" s="106"/>
    </row>
    <row r="4" spans="1:13" ht="15">
      <c r="A4" s="107" t="s">
        <v>2</v>
      </c>
      <c r="B4" s="108">
        <v>0.7</v>
      </c>
      <c r="C4" s="108">
        <v>0.7</v>
      </c>
      <c r="D4" s="108">
        <v>0.7</v>
      </c>
      <c r="E4" s="108">
        <v>0.7</v>
      </c>
      <c r="F4" s="108">
        <v>0.7</v>
      </c>
      <c r="G4" s="108">
        <v>0.7</v>
      </c>
      <c r="H4" s="108">
        <v>0.7</v>
      </c>
      <c r="I4" s="108">
        <v>0.7</v>
      </c>
      <c r="J4" s="108">
        <v>0.7</v>
      </c>
      <c r="K4" s="108">
        <v>0.7</v>
      </c>
      <c r="L4" s="108">
        <v>0.7</v>
      </c>
      <c r="M4" s="108">
        <v>0.7</v>
      </c>
    </row>
    <row r="5" spans="1:13" ht="15">
      <c r="A5" s="107" t="s">
        <v>3</v>
      </c>
      <c r="B5" s="108">
        <v>25</v>
      </c>
      <c r="C5" s="108">
        <v>25</v>
      </c>
      <c r="D5" s="108">
        <v>25</v>
      </c>
      <c r="E5" s="108">
        <v>25</v>
      </c>
      <c r="F5" s="108">
        <v>25</v>
      </c>
      <c r="G5" s="108">
        <v>25</v>
      </c>
      <c r="H5" s="108">
        <v>25</v>
      </c>
      <c r="I5" s="108">
        <v>25</v>
      </c>
      <c r="J5" s="108">
        <v>25</v>
      </c>
      <c r="K5" s="108">
        <v>25</v>
      </c>
      <c r="L5" s="108">
        <v>25</v>
      </c>
      <c r="M5" s="108">
        <v>25</v>
      </c>
    </row>
    <row r="6" spans="1:13" ht="15">
      <c r="A6" s="107" t="s">
        <v>4</v>
      </c>
      <c r="B6" s="108">
        <v>1.5</v>
      </c>
      <c r="C6" s="108">
        <v>1.5</v>
      </c>
      <c r="D6" s="108">
        <v>1.5</v>
      </c>
      <c r="E6" s="108">
        <v>1.5</v>
      </c>
      <c r="F6" s="108">
        <v>1.5</v>
      </c>
      <c r="G6" s="108">
        <v>1.5</v>
      </c>
      <c r="H6" s="108">
        <v>1.5</v>
      </c>
      <c r="I6" s="108">
        <v>1.5</v>
      </c>
      <c r="J6" s="108">
        <v>1.5</v>
      </c>
      <c r="K6" s="108">
        <v>1.5</v>
      </c>
      <c r="L6" s="108">
        <v>1.5</v>
      </c>
      <c r="M6" s="108">
        <v>1.5</v>
      </c>
    </row>
    <row r="7" spans="1:13" ht="30">
      <c r="A7" s="107" t="s">
        <v>202</v>
      </c>
      <c r="B7" s="109" t="s">
        <v>50</v>
      </c>
      <c r="C7" s="109">
        <v>0.99</v>
      </c>
      <c r="D7" s="109" t="s">
        <v>50</v>
      </c>
      <c r="E7" s="109">
        <v>0.99</v>
      </c>
      <c r="F7" s="109" t="s">
        <v>50</v>
      </c>
      <c r="G7" s="109">
        <v>0.99</v>
      </c>
      <c r="H7" s="109" t="s">
        <v>50</v>
      </c>
      <c r="I7" s="109">
        <v>0.99</v>
      </c>
      <c r="J7" s="109" t="s">
        <v>50</v>
      </c>
      <c r="K7" s="109">
        <v>0.99</v>
      </c>
      <c r="L7" s="109" t="s">
        <v>50</v>
      </c>
      <c r="M7" s="109">
        <v>0.99</v>
      </c>
    </row>
    <row r="8" spans="1:13" ht="30">
      <c r="A8" s="107" t="s">
        <v>203</v>
      </c>
      <c r="B8" s="110">
        <v>0.99</v>
      </c>
      <c r="C8" s="110" t="s">
        <v>50</v>
      </c>
      <c r="D8" s="110">
        <v>0.99</v>
      </c>
      <c r="E8" s="110" t="s">
        <v>50</v>
      </c>
      <c r="F8" s="110">
        <v>0.99</v>
      </c>
      <c r="G8" s="110" t="s">
        <v>50</v>
      </c>
      <c r="H8" s="110">
        <v>0.99</v>
      </c>
      <c r="I8" s="110" t="s">
        <v>50</v>
      </c>
      <c r="J8" s="110">
        <v>0.99</v>
      </c>
      <c r="K8" s="110" t="s">
        <v>50</v>
      </c>
      <c r="L8" s="110">
        <v>0.99</v>
      </c>
      <c r="M8" s="110" t="s">
        <v>50</v>
      </c>
    </row>
    <row r="9" spans="1:13" ht="15">
      <c r="A9" s="107" t="s">
        <v>179</v>
      </c>
      <c r="B9" s="111" t="s">
        <v>50</v>
      </c>
      <c r="C9" s="111">
        <v>89</v>
      </c>
      <c r="D9" s="108" t="s">
        <v>50</v>
      </c>
      <c r="E9" s="111">
        <v>44</v>
      </c>
      <c r="F9" s="108" t="s">
        <v>50</v>
      </c>
      <c r="G9" s="111">
        <v>44</v>
      </c>
      <c r="H9" s="111"/>
      <c r="I9" s="111">
        <v>15</v>
      </c>
      <c r="J9" s="111"/>
      <c r="K9" s="111">
        <v>15</v>
      </c>
      <c r="L9" s="111"/>
      <c r="M9" s="111">
        <v>15</v>
      </c>
    </row>
    <row r="10" spans="1:13" ht="15">
      <c r="A10" s="107" t="s">
        <v>180</v>
      </c>
      <c r="B10" s="111">
        <v>360</v>
      </c>
      <c r="C10" s="111" t="s">
        <v>50</v>
      </c>
      <c r="D10" s="111">
        <v>180</v>
      </c>
      <c r="E10" s="108" t="s">
        <v>50</v>
      </c>
      <c r="F10" s="111">
        <v>180</v>
      </c>
      <c r="G10" s="108" t="s">
        <v>50</v>
      </c>
      <c r="H10" s="108">
        <v>180</v>
      </c>
      <c r="I10" s="108" t="s">
        <v>50</v>
      </c>
      <c r="J10" s="108">
        <v>180</v>
      </c>
      <c r="K10" s="108" t="s">
        <v>50</v>
      </c>
      <c r="L10" s="108">
        <v>180</v>
      </c>
      <c r="M10" s="108" t="s">
        <v>50</v>
      </c>
    </row>
    <row r="11" spans="1:13" ht="30">
      <c r="A11" s="107" t="s">
        <v>7</v>
      </c>
      <c r="B11" s="112" t="s">
        <v>50</v>
      </c>
      <c r="C11" s="109">
        <v>0.01</v>
      </c>
      <c r="D11" s="109" t="s">
        <v>50</v>
      </c>
      <c r="E11" s="109">
        <v>0.01</v>
      </c>
      <c r="F11" s="109" t="s">
        <v>50</v>
      </c>
      <c r="G11" s="109">
        <v>0.01</v>
      </c>
      <c r="H11" s="109" t="s">
        <v>50</v>
      </c>
      <c r="I11" s="109">
        <v>0.01</v>
      </c>
      <c r="J11" s="109" t="s">
        <v>50</v>
      </c>
      <c r="K11" s="109">
        <v>0.01</v>
      </c>
      <c r="L11" s="109" t="s">
        <v>50</v>
      </c>
      <c r="M11" s="109">
        <v>0.01</v>
      </c>
    </row>
    <row r="12" spans="1:13" ht="30">
      <c r="A12" s="107" t="s">
        <v>181</v>
      </c>
      <c r="B12" s="109">
        <v>0.1</v>
      </c>
      <c r="C12" s="113" t="s">
        <v>50</v>
      </c>
      <c r="D12" s="109">
        <v>0.1</v>
      </c>
      <c r="E12" s="109" t="s">
        <v>50</v>
      </c>
      <c r="F12" s="109">
        <v>0.1</v>
      </c>
      <c r="G12" s="109" t="s">
        <v>50</v>
      </c>
      <c r="H12" s="109">
        <v>0.1</v>
      </c>
      <c r="I12" s="109" t="s">
        <v>50</v>
      </c>
      <c r="J12" s="109">
        <v>0.1</v>
      </c>
      <c r="K12" s="109" t="s">
        <v>50</v>
      </c>
      <c r="L12" s="109">
        <v>0.1</v>
      </c>
      <c r="M12" s="109" t="s">
        <v>50</v>
      </c>
    </row>
    <row r="13" spans="1:13" ht="16.5">
      <c r="A13" s="107" t="s">
        <v>107</v>
      </c>
      <c r="B13" s="114">
        <f>B10/B42</f>
        <v>2E-3</v>
      </c>
      <c r="C13" s="113" t="s">
        <v>50</v>
      </c>
      <c r="D13" s="115">
        <f>D10/D42</f>
        <v>1E-3</v>
      </c>
      <c r="E13" s="116" t="s">
        <v>50</v>
      </c>
      <c r="F13" s="115">
        <f>F10/F42</f>
        <v>1E-3</v>
      </c>
      <c r="G13" s="116" t="s">
        <v>50</v>
      </c>
      <c r="H13" s="115">
        <f>H10/H42</f>
        <v>1.2E-2</v>
      </c>
      <c r="I13" s="116" t="s">
        <v>50</v>
      </c>
      <c r="J13" s="115">
        <f>J10/J42</f>
        <v>1.2E-2</v>
      </c>
      <c r="K13" s="116" t="s">
        <v>50</v>
      </c>
      <c r="L13" s="115">
        <f>L10/L42</f>
        <v>1.2E-2</v>
      </c>
      <c r="M13" s="116" t="s">
        <v>50</v>
      </c>
    </row>
    <row r="14" spans="1:13" ht="16.5">
      <c r="A14" s="107" t="s">
        <v>108</v>
      </c>
      <c r="B14" s="112" t="s">
        <v>109</v>
      </c>
      <c r="C14" s="112" t="s">
        <v>109</v>
      </c>
      <c r="D14" s="70" t="s">
        <v>81</v>
      </c>
      <c r="E14" s="70" t="s">
        <v>81</v>
      </c>
      <c r="F14" s="70" t="s">
        <v>82</v>
      </c>
      <c r="G14" s="70" t="s">
        <v>82</v>
      </c>
      <c r="H14" s="70" t="s">
        <v>109</v>
      </c>
      <c r="I14" s="70" t="s">
        <v>109</v>
      </c>
      <c r="J14" s="70" t="s">
        <v>81</v>
      </c>
      <c r="K14" s="70" t="s">
        <v>81</v>
      </c>
      <c r="L14" s="70" t="s">
        <v>82</v>
      </c>
      <c r="M14" s="70" t="s">
        <v>82</v>
      </c>
    </row>
    <row r="15" spans="1:13" ht="15">
      <c r="A15" s="107" t="s">
        <v>80</v>
      </c>
      <c r="B15" s="108">
        <v>3</v>
      </c>
      <c r="C15" s="108">
        <v>3</v>
      </c>
      <c r="D15" s="108">
        <v>3</v>
      </c>
      <c r="E15" s="108">
        <v>3</v>
      </c>
      <c r="F15" s="108">
        <v>3</v>
      </c>
      <c r="G15" s="108">
        <v>3</v>
      </c>
      <c r="H15" s="108">
        <v>3</v>
      </c>
      <c r="I15" s="108">
        <v>3</v>
      </c>
      <c r="J15" s="108">
        <v>3</v>
      </c>
      <c r="K15" s="108">
        <v>3</v>
      </c>
      <c r="L15" s="108">
        <v>3</v>
      </c>
      <c r="M15" s="108">
        <v>3</v>
      </c>
    </row>
    <row r="16" spans="1:13" ht="15">
      <c r="A16" s="107" t="s">
        <v>9</v>
      </c>
      <c r="B16" s="108">
        <v>3</v>
      </c>
      <c r="C16" s="108">
        <v>3</v>
      </c>
      <c r="D16" s="108">
        <v>3</v>
      </c>
      <c r="E16" s="108">
        <v>3</v>
      </c>
      <c r="F16" s="108">
        <v>3</v>
      </c>
      <c r="G16" s="108">
        <v>3</v>
      </c>
      <c r="H16" s="108">
        <v>3</v>
      </c>
      <c r="I16" s="108">
        <v>3</v>
      </c>
      <c r="J16" s="108">
        <v>3</v>
      </c>
      <c r="K16" s="108">
        <v>3</v>
      </c>
      <c r="L16" s="108">
        <v>3</v>
      </c>
      <c r="M16" s="108">
        <v>3</v>
      </c>
    </row>
    <row r="17" spans="1:13">
      <c r="A17" s="104" t="s">
        <v>10</v>
      </c>
      <c r="B17" s="105"/>
      <c r="C17" s="105"/>
      <c r="D17" s="106"/>
      <c r="E17" s="106"/>
      <c r="F17" s="106"/>
      <c r="G17" s="106"/>
      <c r="H17" s="106"/>
      <c r="I17" s="106"/>
      <c r="J17" s="106"/>
      <c r="K17" s="106"/>
      <c r="L17" s="106"/>
      <c r="M17" s="106"/>
    </row>
    <row r="18" spans="1:13" ht="45">
      <c r="A18" s="107" t="s">
        <v>200</v>
      </c>
      <c r="B18" s="108">
        <v>16</v>
      </c>
      <c r="C18" s="108">
        <v>16</v>
      </c>
      <c r="D18" s="108">
        <v>16</v>
      </c>
      <c r="E18" s="108">
        <v>16</v>
      </c>
      <c r="F18" s="108">
        <v>16</v>
      </c>
      <c r="G18" s="108">
        <v>16</v>
      </c>
      <c r="H18" s="108">
        <v>1</v>
      </c>
      <c r="I18" s="108">
        <v>1</v>
      </c>
      <c r="J18" s="108">
        <v>1</v>
      </c>
      <c r="K18" s="108">
        <v>1</v>
      </c>
      <c r="L18" s="108">
        <v>1</v>
      </c>
      <c r="M18" s="108">
        <v>1</v>
      </c>
    </row>
    <row r="19" spans="1:13" ht="15">
      <c r="A19" s="107" t="s">
        <v>106</v>
      </c>
      <c r="B19" s="108">
        <v>2</v>
      </c>
      <c r="C19" s="108">
        <v>2</v>
      </c>
      <c r="D19" s="108">
        <v>2</v>
      </c>
      <c r="E19" s="108">
        <v>2</v>
      </c>
      <c r="F19" s="108">
        <v>2</v>
      </c>
      <c r="G19" s="108">
        <v>2</v>
      </c>
      <c r="H19" s="108">
        <v>23</v>
      </c>
      <c r="I19" s="108">
        <v>23</v>
      </c>
      <c r="J19" s="108">
        <v>23</v>
      </c>
      <c r="K19" s="108">
        <v>23</v>
      </c>
      <c r="L19" s="108">
        <v>23</v>
      </c>
      <c r="M19" s="108">
        <v>23</v>
      </c>
    </row>
    <row r="20" spans="1:13" ht="15">
      <c r="A20" s="107" t="s">
        <v>11</v>
      </c>
      <c r="B20" s="108">
        <v>23</v>
      </c>
      <c r="C20" s="108">
        <v>23</v>
      </c>
      <c r="D20" s="108">
        <v>23</v>
      </c>
      <c r="E20" s="108">
        <v>23</v>
      </c>
      <c r="F20" s="108">
        <v>23</v>
      </c>
      <c r="G20" s="108">
        <v>23</v>
      </c>
      <c r="H20" s="108">
        <f t="shared" ref="H20:M20" si="0">H19+10*LOG10(H18)</f>
        <v>23</v>
      </c>
      <c r="I20" s="108">
        <f t="shared" si="0"/>
        <v>23</v>
      </c>
      <c r="J20" s="108">
        <f t="shared" si="0"/>
        <v>23</v>
      </c>
      <c r="K20" s="108">
        <f t="shared" si="0"/>
        <v>23</v>
      </c>
      <c r="L20" s="108">
        <f t="shared" si="0"/>
        <v>23</v>
      </c>
      <c r="M20" s="108">
        <f t="shared" si="0"/>
        <v>23</v>
      </c>
    </row>
    <row r="21" spans="1:13" ht="45">
      <c r="A21" s="117" t="s">
        <v>201</v>
      </c>
      <c r="B21" s="118">
        <f t="shared" ref="B21:M21" si="1">B20+10*LOG10(B18)</f>
        <v>35.04119982655925</v>
      </c>
      <c r="C21" s="118">
        <f t="shared" si="1"/>
        <v>35.04119982655925</v>
      </c>
      <c r="D21" s="118">
        <f t="shared" si="1"/>
        <v>35.04119982655925</v>
      </c>
      <c r="E21" s="118">
        <f t="shared" si="1"/>
        <v>35.04119982655925</v>
      </c>
      <c r="F21" s="118">
        <f t="shared" si="1"/>
        <v>35.04119982655925</v>
      </c>
      <c r="G21" s="118">
        <f t="shared" si="1"/>
        <v>35.04119982655925</v>
      </c>
      <c r="H21" s="118">
        <f t="shared" si="1"/>
        <v>23</v>
      </c>
      <c r="I21" s="118">
        <f t="shared" si="1"/>
        <v>23</v>
      </c>
      <c r="J21" s="118">
        <f t="shared" si="1"/>
        <v>23</v>
      </c>
      <c r="K21" s="118">
        <f t="shared" si="1"/>
        <v>23</v>
      </c>
      <c r="L21" s="118">
        <f t="shared" si="1"/>
        <v>23</v>
      </c>
      <c r="M21" s="118">
        <f t="shared" si="1"/>
        <v>23</v>
      </c>
    </row>
    <row r="22" spans="1:13" ht="15">
      <c r="A22" s="107" t="s">
        <v>182</v>
      </c>
      <c r="B22" s="108">
        <f>8</f>
        <v>8</v>
      </c>
      <c r="C22" s="108">
        <f>8</f>
        <v>8</v>
      </c>
      <c r="D22" s="108">
        <v>8</v>
      </c>
      <c r="E22" s="108">
        <v>8</v>
      </c>
      <c r="F22" s="108">
        <v>8</v>
      </c>
      <c r="G22" s="108">
        <v>8</v>
      </c>
      <c r="H22" s="108">
        <v>0</v>
      </c>
      <c r="I22" s="108">
        <v>0</v>
      </c>
      <c r="J22" s="108">
        <v>0</v>
      </c>
      <c r="K22" s="108">
        <v>0</v>
      </c>
      <c r="L22" s="108">
        <v>0</v>
      </c>
      <c r="M22" s="108">
        <v>0</v>
      </c>
    </row>
    <row r="23" spans="1:13" ht="45">
      <c r="A23" s="119" t="s">
        <v>13</v>
      </c>
      <c r="B23" s="118">
        <f>IF(B18&gt;=2, 10*LOG10(B18/B19), 0)</f>
        <v>9.0308998699194358</v>
      </c>
      <c r="C23" s="118">
        <f>IF(C18&gt;=2, 10*LOG10(C18/C19), 0)</f>
        <v>9.0308998699194358</v>
      </c>
      <c r="D23" s="118">
        <f t="shared" ref="D23:M23" si="2">IF(D18&gt;=2, 10*LOG10(D18/2), 0)</f>
        <v>9.0308998699194358</v>
      </c>
      <c r="E23" s="118">
        <f t="shared" si="2"/>
        <v>9.0308998699194358</v>
      </c>
      <c r="F23" s="118">
        <f t="shared" si="2"/>
        <v>9.0308998699194358</v>
      </c>
      <c r="G23" s="118">
        <f t="shared" si="2"/>
        <v>9.0308998699194358</v>
      </c>
      <c r="H23" s="118">
        <f t="shared" si="2"/>
        <v>0</v>
      </c>
      <c r="I23" s="118">
        <f t="shared" si="2"/>
        <v>0</v>
      </c>
      <c r="J23" s="118">
        <f t="shared" si="2"/>
        <v>0</v>
      </c>
      <c r="K23" s="118">
        <f t="shared" si="2"/>
        <v>0</v>
      </c>
      <c r="L23" s="118">
        <f t="shared" si="2"/>
        <v>0</v>
      </c>
      <c r="M23" s="118">
        <f t="shared" si="2"/>
        <v>0</v>
      </c>
    </row>
    <row r="24" spans="1:13" ht="15">
      <c r="A24" s="107" t="s">
        <v>14</v>
      </c>
      <c r="B24" s="108">
        <v>0</v>
      </c>
      <c r="C24" s="108">
        <v>0</v>
      </c>
      <c r="D24" s="120">
        <v>0</v>
      </c>
      <c r="E24" s="108">
        <v>0</v>
      </c>
      <c r="F24" s="120">
        <v>0</v>
      </c>
      <c r="G24" s="108">
        <v>0</v>
      </c>
      <c r="H24" s="108">
        <v>0</v>
      </c>
      <c r="I24" s="108">
        <v>0</v>
      </c>
      <c r="J24" s="108">
        <v>0</v>
      </c>
      <c r="K24" s="108">
        <v>0</v>
      </c>
      <c r="L24" s="108">
        <v>0</v>
      </c>
      <c r="M24" s="108">
        <v>0</v>
      </c>
    </row>
    <row r="25" spans="1:13" ht="15">
      <c r="A25" s="107" t="s">
        <v>15</v>
      </c>
      <c r="B25" s="108">
        <v>0</v>
      </c>
      <c r="C25" s="108">
        <v>0</v>
      </c>
      <c r="D25" s="120">
        <v>0</v>
      </c>
      <c r="E25" s="108">
        <v>0</v>
      </c>
      <c r="F25" s="120">
        <v>0</v>
      </c>
      <c r="G25" s="108">
        <v>0</v>
      </c>
      <c r="H25" s="108">
        <v>0</v>
      </c>
      <c r="I25" s="108">
        <v>0</v>
      </c>
      <c r="J25" s="108">
        <v>0</v>
      </c>
      <c r="K25" s="108">
        <v>0</v>
      </c>
      <c r="L25" s="108">
        <v>0</v>
      </c>
      <c r="M25" s="108">
        <v>0</v>
      </c>
    </row>
    <row r="26" spans="1:13" ht="45">
      <c r="A26" s="107" t="s">
        <v>16</v>
      </c>
      <c r="B26" s="108">
        <v>3</v>
      </c>
      <c r="C26" s="108">
        <v>3</v>
      </c>
      <c r="D26" s="108">
        <v>3</v>
      </c>
      <c r="E26" s="108">
        <v>3</v>
      </c>
      <c r="F26" s="108">
        <v>3</v>
      </c>
      <c r="G26" s="108">
        <v>3</v>
      </c>
      <c r="H26" s="108">
        <v>0</v>
      </c>
      <c r="I26" s="108">
        <v>0</v>
      </c>
      <c r="J26" s="108">
        <v>0</v>
      </c>
      <c r="K26" s="108">
        <v>0</v>
      </c>
      <c r="L26" s="108">
        <v>0</v>
      </c>
      <c r="M26" s="108">
        <v>0</v>
      </c>
    </row>
    <row r="27" spans="1:13" ht="15">
      <c r="A27" s="121" t="s">
        <v>17</v>
      </c>
      <c r="B27" s="122">
        <f t="shared" ref="B27:M27" si="3">B21+B22+B23+B24-B26</f>
        <v>49.072099696478688</v>
      </c>
      <c r="C27" s="122">
        <f t="shared" si="3"/>
        <v>49.072099696478688</v>
      </c>
      <c r="D27" s="122">
        <f t="shared" si="3"/>
        <v>49.072099696478688</v>
      </c>
      <c r="E27" s="122">
        <f t="shared" si="3"/>
        <v>49.072099696478688</v>
      </c>
      <c r="F27" s="122">
        <f t="shared" si="3"/>
        <v>49.072099696478688</v>
      </c>
      <c r="G27" s="122">
        <f t="shared" si="3"/>
        <v>49.072099696478688</v>
      </c>
      <c r="H27" s="122">
        <f t="shared" si="3"/>
        <v>23</v>
      </c>
      <c r="I27" s="122">
        <f t="shared" si="3"/>
        <v>23</v>
      </c>
      <c r="J27" s="122">
        <f t="shared" si="3"/>
        <v>23</v>
      </c>
      <c r="K27" s="122">
        <f t="shared" si="3"/>
        <v>23</v>
      </c>
      <c r="L27" s="122">
        <f t="shared" si="3"/>
        <v>23</v>
      </c>
      <c r="M27" s="122">
        <f t="shared" si="3"/>
        <v>23</v>
      </c>
    </row>
    <row r="28" spans="1:13" ht="15">
      <c r="A28" s="121" t="s">
        <v>183</v>
      </c>
      <c r="B28" s="122">
        <f t="shared" ref="B28:M28" si="4">B21+B22+B23-B25-B26</f>
        <v>49.072099696478688</v>
      </c>
      <c r="C28" s="122">
        <f t="shared" si="4"/>
        <v>49.072099696478688</v>
      </c>
      <c r="D28" s="122">
        <f t="shared" si="4"/>
        <v>49.072099696478688</v>
      </c>
      <c r="E28" s="122">
        <f t="shared" si="4"/>
        <v>49.072099696478688</v>
      </c>
      <c r="F28" s="122">
        <f t="shared" si="4"/>
        <v>49.072099696478688</v>
      </c>
      <c r="G28" s="122">
        <f t="shared" si="4"/>
        <v>49.072099696478688</v>
      </c>
      <c r="H28" s="122">
        <f t="shared" si="4"/>
        <v>23</v>
      </c>
      <c r="I28" s="122">
        <f t="shared" si="4"/>
        <v>23</v>
      </c>
      <c r="J28" s="122">
        <f t="shared" si="4"/>
        <v>23</v>
      </c>
      <c r="K28" s="122">
        <f t="shared" si="4"/>
        <v>23</v>
      </c>
      <c r="L28" s="122">
        <f t="shared" si="4"/>
        <v>23</v>
      </c>
      <c r="M28" s="122">
        <f t="shared" si="4"/>
        <v>23</v>
      </c>
    </row>
    <row r="29" spans="1:13">
      <c r="A29" s="104" t="s">
        <v>19</v>
      </c>
      <c r="B29" s="123"/>
      <c r="C29" s="123"/>
      <c r="D29" s="124"/>
      <c r="E29" s="124"/>
      <c r="F29" s="124"/>
      <c r="G29" s="124"/>
      <c r="H29" s="124"/>
      <c r="I29" s="124"/>
      <c r="J29" s="124"/>
      <c r="K29" s="124"/>
      <c r="L29" s="124"/>
      <c r="M29" s="124"/>
    </row>
    <row r="30" spans="1:13" ht="30">
      <c r="A30" s="107" t="s">
        <v>77</v>
      </c>
      <c r="B30" s="108">
        <v>1</v>
      </c>
      <c r="C30" s="108">
        <v>1</v>
      </c>
      <c r="D30" s="120">
        <v>1</v>
      </c>
      <c r="E30" s="108">
        <v>1</v>
      </c>
      <c r="F30" s="120">
        <v>1</v>
      </c>
      <c r="G30" s="108">
        <v>1</v>
      </c>
      <c r="H30" s="108">
        <v>32</v>
      </c>
      <c r="I30" s="108">
        <v>32</v>
      </c>
      <c r="J30" s="108">
        <v>32</v>
      </c>
      <c r="K30" s="108">
        <v>32</v>
      </c>
      <c r="L30" s="108">
        <v>32</v>
      </c>
      <c r="M30" s="108">
        <v>32</v>
      </c>
    </row>
    <row r="31" spans="1:13" ht="15">
      <c r="A31" s="107" t="s">
        <v>140</v>
      </c>
      <c r="B31" s="108">
        <v>1</v>
      </c>
      <c r="C31" s="108">
        <v>1</v>
      </c>
      <c r="D31" s="120">
        <v>1</v>
      </c>
      <c r="E31" s="108">
        <v>1</v>
      </c>
      <c r="F31" s="120">
        <v>1</v>
      </c>
      <c r="G31" s="108">
        <v>1</v>
      </c>
      <c r="H31" s="108">
        <v>4</v>
      </c>
      <c r="I31" s="108">
        <v>4</v>
      </c>
      <c r="J31" s="108">
        <v>4</v>
      </c>
      <c r="K31" s="108">
        <v>4</v>
      </c>
      <c r="L31" s="108">
        <v>4</v>
      </c>
      <c r="M31" s="108">
        <v>4</v>
      </c>
    </row>
    <row r="32" spans="1:13" ht="15">
      <c r="A32" s="107" t="s">
        <v>20</v>
      </c>
      <c r="B32" s="108">
        <v>0</v>
      </c>
      <c r="C32" s="108">
        <v>0</v>
      </c>
      <c r="D32" s="120">
        <v>0</v>
      </c>
      <c r="E32" s="108">
        <v>0</v>
      </c>
      <c r="F32" s="120">
        <v>0</v>
      </c>
      <c r="G32" s="108">
        <v>0</v>
      </c>
      <c r="H32" s="108">
        <v>8</v>
      </c>
      <c r="I32" s="108">
        <v>8</v>
      </c>
      <c r="J32" s="108">
        <v>8</v>
      </c>
      <c r="K32" s="108">
        <v>8</v>
      </c>
      <c r="L32" s="108">
        <v>8</v>
      </c>
      <c r="M32" s="108">
        <v>8</v>
      </c>
    </row>
    <row r="33" spans="1:13" ht="42.75">
      <c r="A33" s="125" t="s">
        <v>143</v>
      </c>
      <c r="B33" s="118">
        <f t="shared" ref="B33:G33" si="5">IF(B30&gt;=2, 10*LOG10(B30/2), 0)</f>
        <v>0</v>
      </c>
      <c r="C33" s="118">
        <f t="shared" si="5"/>
        <v>0</v>
      </c>
      <c r="D33" s="118">
        <f t="shared" si="5"/>
        <v>0</v>
      </c>
      <c r="E33" s="118">
        <f t="shared" si="5"/>
        <v>0</v>
      </c>
      <c r="F33" s="118">
        <f t="shared" si="5"/>
        <v>0</v>
      </c>
      <c r="G33" s="118">
        <f t="shared" si="5"/>
        <v>0</v>
      </c>
      <c r="H33" s="118">
        <f t="shared" ref="H33:M33" si="6">IF(H30/H31&gt;=2, 10*LOG10(H30/H31), 0)</f>
        <v>9.0308998699194358</v>
      </c>
      <c r="I33" s="118">
        <f t="shared" si="6"/>
        <v>9.0308998699194358</v>
      </c>
      <c r="J33" s="118">
        <f t="shared" si="6"/>
        <v>9.0308998699194358</v>
      </c>
      <c r="K33" s="118">
        <f t="shared" si="6"/>
        <v>9.0308998699194358</v>
      </c>
      <c r="L33" s="118">
        <f t="shared" si="6"/>
        <v>9.0308998699194358</v>
      </c>
      <c r="M33" s="118">
        <f t="shared" si="6"/>
        <v>9.0308998699194358</v>
      </c>
    </row>
    <row r="34" spans="1:13" ht="45">
      <c r="A34" s="107" t="s">
        <v>21</v>
      </c>
      <c r="B34" s="108">
        <v>0</v>
      </c>
      <c r="C34" s="108">
        <v>0</v>
      </c>
      <c r="D34" s="108">
        <v>0</v>
      </c>
      <c r="E34" s="108">
        <v>0</v>
      </c>
      <c r="F34" s="108">
        <v>0</v>
      </c>
      <c r="G34" s="108">
        <v>0</v>
      </c>
      <c r="H34" s="108">
        <v>3</v>
      </c>
      <c r="I34" s="108">
        <v>3</v>
      </c>
      <c r="J34" s="108">
        <v>3</v>
      </c>
      <c r="K34" s="108">
        <v>3</v>
      </c>
      <c r="L34" s="108">
        <v>3</v>
      </c>
      <c r="M34" s="108">
        <v>3</v>
      </c>
    </row>
    <row r="35" spans="1:13" ht="15">
      <c r="A35" s="107" t="s">
        <v>22</v>
      </c>
      <c r="B35" s="70">
        <v>7</v>
      </c>
      <c r="C35" s="70">
        <v>7</v>
      </c>
      <c r="D35" s="70">
        <v>7</v>
      </c>
      <c r="E35" s="70">
        <v>7</v>
      </c>
      <c r="F35" s="70">
        <v>7</v>
      </c>
      <c r="G35" s="70">
        <v>7</v>
      </c>
      <c r="H35" s="70">
        <v>5</v>
      </c>
      <c r="I35" s="70">
        <v>5</v>
      </c>
      <c r="J35" s="70">
        <v>5</v>
      </c>
      <c r="K35" s="70">
        <v>5</v>
      </c>
      <c r="L35" s="70">
        <v>5</v>
      </c>
      <c r="M35" s="70">
        <v>5</v>
      </c>
    </row>
    <row r="36" spans="1:13" ht="15">
      <c r="A36" s="107" t="s">
        <v>23</v>
      </c>
      <c r="B36" s="70">
        <v>-174</v>
      </c>
      <c r="C36" s="70">
        <v>-174</v>
      </c>
      <c r="D36" s="70">
        <v>-174</v>
      </c>
      <c r="E36" s="70">
        <v>-174</v>
      </c>
      <c r="F36" s="70">
        <v>-174</v>
      </c>
      <c r="G36" s="70">
        <v>-174</v>
      </c>
      <c r="H36" s="70">
        <v>-174</v>
      </c>
      <c r="I36" s="70">
        <v>-174</v>
      </c>
      <c r="J36" s="70">
        <v>-174</v>
      </c>
      <c r="K36" s="70">
        <v>-174</v>
      </c>
      <c r="L36" s="70">
        <v>-174</v>
      </c>
      <c r="M36" s="70">
        <v>-174</v>
      </c>
    </row>
    <row r="37" spans="1:13" ht="30">
      <c r="A37" s="107" t="s">
        <v>204</v>
      </c>
      <c r="B37" s="70" t="s">
        <v>50</v>
      </c>
      <c r="C37" s="67">
        <v>-177</v>
      </c>
      <c r="D37" s="67" t="s">
        <v>50</v>
      </c>
      <c r="E37" s="67">
        <v>-177</v>
      </c>
      <c r="F37" s="67" t="s">
        <v>50</v>
      </c>
      <c r="G37" s="67">
        <v>-177</v>
      </c>
      <c r="H37" s="70" t="s">
        <v>50</v>
      </c>
      <c r="I37" s="67">
        <v>-177</v>
      </c>
      <c r="J37" s="70" t="s">
        <v>50</v>
      </c>
      <c r="K37" s="67">
        <v>-177</v>
      </c>
      <c r="L37" s="70" t="s">
        <v>50</v>
      </c>
      <c r="M37" s="67">
        <v>-177</v>
      </c>
    </row>
    <row r="38" spans="1:13" ht="30">
      <c r="A38" s="107" t="s">
        <v>184</v>
      </c>
      <c r="B38" s="70">
        <v>-177</v>
      </c>
      <c r="C38" s="67" t="s">
        <v>50</v>
      </c>
      <c r="D38" s="67">
        <v>-177</v>
      </c>
      <c r="E38" s="67" t="s">
        <v>50</v>
      </c>
      <c r="F38" s="67">
        <v>-177</v>
      </c>
      <c r="G38" s="67" t="s">
        <v>50</v>
      </c>
      <c r="H38" s="67">
        <v>-177</v>
      </c>
      <c r="I38" s="67" t="s">
        <v>50</v>
      </c>
      <c r="J38" s="67">
        <v>-177</v>
      </c>
      <c r="K38" s="67" t="s">
        <v>50</v>
      </c>
      <c r="L38" s="67">
        <v>-177</v>
      </c>
      <c r="M38" s="67" t="s">
        <v>50</v>
      </c>
    </row>
    <row r="39" spans="1:13" ht="30">
      <c r="A39" s="126" t="s">
        <v>205</v>
      </c>
      <c r="B39" s="127" t="s">
        <v>50</v>
      </c>
      <c r="C39" s="127">
        <f t="shared" ref="C39:G39" si="7">10*LOG10(10^((C35+C36)/10)+10^(C37/10))</f>
        <v>-166.58607314841777</v>
      </c>
      <c r="D39" s="127" t="s">
        <v>50</v>
      </c>
      <c r="E39" s="127">
        <f t="shared" si="7"/>
        <v>-166.58607314841777</v>
      </c>
      <c r="F39" s="127" t="s">
        <v>50</v>
      </c>
      <c r="G39" s="127">
        <f t="shared" si="7"/>
        <v>-166.58607314841777</v>
      </c>
      <c r="H39" s="127" t="s">
        <v>50</v>
      </c>
      <c r="I39" s="127">
        <f t="shared" ref="I39:M39" si="8">10*LOG10(10^((I35+I36)/10)+10^(I37/10))</f>
        <v>-168.36107965856621</v>
      </c>
      <c r="J39" s="127" t="s">
        <v>50</v>
      </c>
      <c r="K39" s="127">
        <f t="shared" ref="K39" si="9">10*LOG10(10^((K35+K36)/10)+10^(K37/10))</f>
        <v>-168.36107965856621</v>
      </c>
      <c r="L39" s="127" t="s">
        <v>50</v>
      </c>
      <c r="M39" s="127">
        <f t="shared" si="8"/>
        <v>-168.36107965856621</v>
      </c>
    </row>
    <row r="40" spans="1:13" ht="30">
      <c r="A40" s="126" t="s">
        <v>206</v>
      </c>
      <c r="B40" s="127">
        <f t="shared" ref="B40:F40" si="10">10*LOG10(10^((B35+B36)/10)+10^(B38/10))</f>
        <v>-166.58607314841777</v>
      </c>
      <c r="C40" s="127" t="s">
        <v>50</v>
      </c>
      <c r="D40" s="127">
        <f t="shared" si="10"/>
        <v>-166.58607314841777</v>
      </c>
      <c r="E40" s="127" t="s">
        <v>50</v>
      </c>
      <c r="F40" s="127">
        <f t="shared" si="10"/>
        <v>-166.58607314841777</v>
      </c>
      <c r="G40" s="127" t="s">
        <v>50</v>
      </c>
      <c r="H40" s="127">
        <f t="shared" ref="H40:L40" si="11">10*LOG10(10^((H35+H36)/10)+10^(H38/10))</f>
        <v>-168.36107965856621</v>
      </c>
      <c r="I40" s="127" t="s">
        <v>50</v>
      </c>
      <c r="J40" s="127">
        <f t="shared" ref="J40" si="12">10*LOG10(10^((J35+J36)/10)+10^(J38/10))</f>
        <v>-168.36107965856621</v>
      </c>
      <c r="K40" s="127" t="s">
        <v>50</v>
      </c>
      <c r="L40" s="127">
        <f t="shared" si="11"/>
        <v>-168.36107965856621</v>
      </c>
      <c r="M40" s="127" t="s">
        <v>50</v>
      </c>
    </row>
    <row r="41" spans="1:13" ht="30">
      <c r="A41" s="107" t="s">
        <v>25</v>
      </c>
      <c r="B41" s="128" t="s">
        <v>50</v>
      </c>
      <c r="C41" s="67">
        <v>180000</v>
      </c>
      <c r="D41" s="67" t="s">
        <v>50</v>
      </c>
      <c r="E41" s="67">
        <f>1*12*15*1000</f>
        <v>180000</v>
      </c>
      <c r="F41" s="67" t="s">
        <v>50</v>
      </c>
      <c r="G41" s="67">
        <f>1*12*15*1000</f>
        <v>180000</v>
      </c>
      <c r="H41" s="67" t="s">
        <v>50</v>
      </c>
      <c r="I41" s="128">
        <v>15000</v>
      </c>
      <c r="J41" s="70" t="s">
        <v>50</v>
      </c>
      <c r="K41" s="70">
        <f>15*1000</f>
        <v>15000</v>
      </c>
      <c r="L41" s="70" t="s">
        <v>50</v>
      </c>
      <c r="M41" s="70">
        <f>15*1000</f>
        <v>15000</v>
      </c>
    </row>
    <row r="42" spans="1:13" ht="30">
      <c r="A42" s="107" t="s">
        <v>26</v>
      </c>
      <c r="B42" s="128">
        <v>180000</v>
      </c>
      <c r="C42" s="67" t="s">
        <v>50</v>
      </c>
      <c r="D42" s="67">
        <f>1*12*15*1000</f>
        <v>180000</v>
      </c>
      <c r="E42" s="70" t="s">
        <v>50</v>
      </c>
      <c r="F42" s="67">
        <f>1*12*15*1000</f>
        <v>180000</v>
      </c>
      <c r="G42" s="70" t="s">
        <v>50</v>
      </c>
      <c r="H42" s="128">
        <v>15000</v>
      </c>
      <c r="I42" s="70" t="s">
        <v>50</v>
      </c>
      <c r="J42" s="67">
        <f>15*1000</f>
        <v>15000</v>
      </c>
      <c r="K42" s="70" t="s">
        <v>50</v>
      </c>
      <c r="L42" s="67">
        <f>15*1000</f>
        <v>15000</v>
      </c>
      <c r="M42" s="70" t="s">
        <v>50</v>
      </c>
    </row>
    <row r="43" spans="1:13" ht="30">
      <c r="A43" s="121" t="s">
        <v>27</v>
      </c>
      <c r="B43" s="127" t="s">
        <v>50</v>
      </c>
      <c r="C43" s="127">
        <f t="shared" ref="C43:G43" si="13">C39+10*LOG10(C41)</f>
        <v>-114.0333480973847</v>
      </c>
      <c r="D43" s="127" t="s">
        <v>50</v>
      </c>
      <c r="E43" s="127">
        <f t="shared" si="13"/>
        <v>-114.0333480973847</v>
      </c>
      <c r="F43" s="127" t="s">
        <v>50</v>
      </c>
      <c r="G43" s="127">
        <f t="shared" si="13"/>
        <v>-114.0333480973847</v>
      </c>
      <c r="H43" s="127" t="s">
        <v>50</v>
      </c>
      <c r="I43" s="127">
        <f t="shared" ref="I43:M43" si="14">I39+10*LOG10(I41)</f>
        <v>-126.6001670680094</v>
      </c>
      <c r="J43" s="127" t="s">
        <v>50</v>
      </c>
      <c r="K43" s="127">
        <f t="shared" si="14"/>
        <v>-126.6001670680094</v>
      </c>
      <c r="L43" s="127" t="s">
        <v>50</v>
      </c>
      <c r="M43" s="127">
        <f t="shared" si="14"/>
        <v>-126.6001670680094</v>
      </c>
    </row>
    <row r="44" spans="1:13" ht="30">
      <c r="A44" s="121" t="s">
        <v>185</v>
      </c>
      <c r="B44" s="127">
        <f>B40+10*LOG10(B42)</f>
        <v>-114.0333480973847</v>
      </c>
      <c r="C44" s="127" t="s">
        <v>50</v>
      </c>
      <c r="D44" s="127">
        <f t="shared" ref="D44:F44" si="15">D40+10*LOG10(D42)</f>
        <v>-114.0333480973847</v>
      </c>
      <c r="E44" s="127" t="s">
        <v>50</v>
      </c>
      <c r="F44" s="127">
        <f t="shared" si="15"/>
        <v>-114.0333480973847</v>
      </c>
      <c r="G44" s="127" t="s">
        <v>50</v>
      </c>
      <c r="H44" s="127">
        <f t="shared" ref="H44:L44" si="16">H40+10*LOG10(H42)</f>
        <v>-126.6001670680094</v>
      </c>
      <c r="I44" s="127" t="s">
        <v>50</v>
      </c>
      <c r="J44" s="127">
        <f t="shared" si="16"/>
        <v>-126.6001670680094</v>
      </c>
      <c r="K44" s="127" t="s">
        <v>50</v>
      </c>
      <c r="L44" s="127">
        <f t="shared" si="16"/>
        <v>-126.6001670680094</v>
      </c>
      <c r="M44" s="127" t="s">
        <v>50</v>
      </c>
    </row>
    <row r="45" spans="1:13" ht="15">
      <c r="A45" s="107" t="s">
        <v>29</v>
      </c>
      <c r="B45" s="70" t="s">
        <v>50</v>
      </c>
      <c r="C45" s="67">
        <v>-17.2</v>
      </c>
      <c r="D45" s="67" t="s">
        <v>50</v>
      </c>
      <c r="E45" s="70">
        <v>-16.7</v>
      </c>
      <c r="F45" s="67" t="s">
        <v>50</v>
      </c>
      <c r="G45" s="70">
        <v>-16.7</v>
      </c>
      <c r="H45" s="70" t="s">
        <v>50</v>
      </c>
      <c r="I45" s="70">
        <v>-17.899999999999999</v>
      </c>
      <c r="J45" s="70" t="s">
        <v>50</v>
      </c>
      <c r="K45" s="70">
        <v>-16</v>
      </c>
      <c r="L45" s="70" t="s">
        <v>50</v>
      </c>
      <c r="M45" s="70">
        <v>-16</v>
      </c>
    </row>
    <row r="46" spans="1:13" ht="15">
      <c r="A46" s="107" t="s">
        <v>186</v>
      </c>
      <c r="B46" s="128">
        <v>-16.899999999999999</v>
      </c>
      <c r="C46" s="67" t="s">
        <v>50</v>
      </c>
      <c r="D46" s="67">
        <v>-17.7</v>
      </c>
      <c r="E46" s="70" t="s">
        <v>50</v>
      </c>
      <c r="F46" s="67">
        <v>-17.7</v>
      </c>
      <c r="G46" s="70" t="s">
        <v>50</v>
      </c>
      <c r="H46" s="70">
        <v>-17.600000000000001</v>
      </c>
      <c r="I46" s="70" t="s">
        <v>50</v>
      </c>
      <c r="J46" s="70">
        <v>-16.600000000000001</v>
      </c>
      <c r="K46" s="70" t="s">
        <v>50</v>
      </c>
      <c r="L46" s="70">
        <v>-16.600000000000001</v>
      </c>
      <c r="M46" s="70" t="s">
        <v>50</v>
      </c>
    </row>
    <row r="47" spans="1:13" ht="15">
      <c r="A47" s="107" t="s">
        <v>31</v>
      </c>
      <c r="B47" s="70">
        <v>2</v>
      </c>
      <c r="C47" s="67">
        <v>2</v>
      </c>
      <c r="D47" s="67">
        <v>2</v>
      </c>
      <c r="E47" s="70">
        <v>2</v>
      </c>
      <c r="F47" s="67">
        <v>2</v>
      </c>
      <c r="G47" s="70">
        <v>2</v>
      </c>
      <c r="H47" s="70">
        <v>2</v>
      </c>
      <c r="I47" s="70">
        <v>2</v>
      </c>
      <c r="J47" s="70">
        <v>2</v>
      </c>
      <c r="K47" s="70">
        <v>2</v>
      </c>
      <c r="L47" s="70">
        <v>2</v>
      </c>
      <c r="M47" s="70">
        <v>2</v>
      </c>
    </row>
    <row r="48" spans="1:13" ht="15">
      <c r="A48" s="107" t="s">
        <v>32</v>
      </c>
      <c r="B48" s="70" t="s">
        <v>50</v>
      </c>
      <c r="C48" s="67">
        <v>0</v>
      </c>
      <c r="D48" s="67" t="s">
        <v>50</v>
      </c>
      <c r="E48" s="70">
        <v>0</v>
      </c>
      <c r="F48" s="67" t="s">
        <v>50</v>
      </c>
      <c r="G48" s="70">
        <v>0</v>
      </c>
      <c r="H48" s="70" t="s">
        <v>50</v>
      </c>
      <c r="I48" s="70">
        <v>0</v>
      </c>
      <c r="J48" s="70" t="s">
        <v>50</v>
      </c>
      <c r="K48" s="70">
        <v>0</v>
      </c>
      <c r="L48" s="70" t="s">
        <v>50</v>
      </c>
      <c r="M48" s="70">
        <v>0</v>
      </c>
    </row>
    <row r="49" spans="1:13" ht="15">
      <c r="A49" s="107" t="s">
        <v>33</v>
      </c>
      <c r="B49" s="70">
        <v>0</v>
      </c>
      <c r="C49" s="67" t="s">
        <v>50</v>
      </c>
      <c r="D49" s="67">
        <v>0</v>
      </c>
      <c r="E49" s="70" t="s">
        <v>50</v>
      </c>
      <c r="F49" s="67">
        <v>0</v>
      </c>
      <c r="G49" s="70" t="s">
        <v>50</v>
      </c>
      <c r="H49" s="70">
        <v>0</v>
      </c>
      <c r="I49" s="70" t="s">
        <v>50</v>
      </c>
      <c r="J49" s="67">
        <v>0</v>
      </c>
      <c r="K49" s="70" t="s">
        <v>50</v>
      </c>
      <c r="L49" s="67">
        <v>0</v>
      </c>
      <c r="M49" s="70" t="s">
        <v>50</v>
      </c>
    </row>
    <row r="50" spans="1:13" ht="30">
      <c r="A50" s="126" t="s">
        <v>44</v>
      </c>
      <c r="B50" s="127" t="s">
        <v>50</v>
      </c>
      <c r="C50" s="127">
        <f t="shared" ref="C50:G50" si="17">C43+C45+C47-C48</f>
        <v>-129.23334809738469</v>
      </c>
      <c r="D50" s="127" t="s">
        <v>50</v>
      </c>
      <c r="E50" s="127">
        <f t="shared" si="17"/>
        <v>-128.73334809738469</v>
      </c>
      <c r="F50" s="127" t="s">
        <v>50</v>
      </c>
      <c r="G50" s="127">
        <f t="shared" si="17"/>
        <v>-128.73334809738469</v>
      </c>
      <c r="H50" s="127" t="s">
        <v>50</v>
      </c>
      <c r="I50" s="127">
        <f t="shared" ref="I50:M50" si="18">I43+I45+I47-I48</f>
        <v>-142.5001670680094</v>
      </c>
      <c r="J50" s="127" t="s">
        <v>50</v>
      </c>
      <c r="K50" s="127">
        <f t="shared" si="18"/>
        <v>-140.6001670680094</v>
      </c>
      <c r="L50" s="127" t="s">
        <v>50</v>
      </c>
      <c r="M50" s="127">
        <f t="shared" si="18"/>
        <v>-140.6001670680094</v>
      </c>
    </row>
    <row r="51" spans="1:13" ht="30">
      <c r="A51" s="126" t="s">
        <v>96</v>
      </c>
      <c r="B51" s="127">
        <f>B44+B46+B47-B49</f>
        <v>-128.93334809738471</v>
      </c>
      <c r="C51" s="127" t="s">
        <v>50</v>
      </c>
      <c r="D51" s="127">
        <f>D44+D46+D47-D49</f>
        <v>-129.73334809738469</v>
      </c>
      <c r="E51" s="127" t="s">
        <v>50</v>
      </c>
      <c r="F51" s="127">
        <f t="shared" ref="F51" si="19">F44+F46+F47-F49</f>
        <v>-129.73334809738469</v>
      </c>
      <c r="G51" s="127" t="s">
        <v>50</v>
      </c>
      <c r="H51" s="127">
        <f t="shared" ref="H51:L51" si="20">H44+H46+H47-H49</f>
        <v>-142.20016706800939</v>
      </c>
      <c r="I51" s="127" t="s">
        <v>50</v>
      </c>
      <c r="J51" s="127">
        <f t="shared" si="20"/>
        <v>-141.20016706800939</v>
      </c>
      <c r="K51" s="127" t="s">
        <v>50</v>
      </c>
      <c r="L51" s="127">
        <f t="shared" si="20"/>
        <v>-141.20016706800939</v>
      </c>
      <c r="M51" s="127" t="s">
        <v>50</v>
      </c>
    </row>
    <row r="52" spans="1:13" ht="30">
      <c r="A52" s="126" t="s">
        <v>89</v>
      </c>
      <c r="B52" s="127" t="s">
        <v>50</v>
      </c>
      <c r="C52" s="127">
        <f t="shared" ref="C52:M52" si="21">C27+C32+C33-C50</f>
        <v>178.30544779386338</v>
      </c>
      <c r="D52" s="127" t="s">
        <v>50</v>
      </c>
      <c r="E52" s="127">
        <f t="shared" si="21"/>
        <v>177.80544779386338</v>
      </c>
      <c r="F52" s="127" t="s">
        <v>50</v>
      </c>
      <c r="G52" s="127">
        <f t="shared" si="21"/>
        <v>177.80544779386338</v>
      </c>
      <c r="H52" s="127" t="s">
        <v>50</v>
      </c>
      <c r="I52" s="127">
        <f t="shared" ref="I52" si="22">I27+I32+I33-I50</f>
        <v>182.53106693792884</v>
      </c>
      <c r="J52" s="127" t="s">
        <v>50</v>
      </c>
      <c r="K52" s="127">
        <f t="shared" si="21"/>
        <v>180.63106693792884</v>
      </c>
      <c r="L52" s="127" t="s">
        <v>50</v>
      </c>
      <c r="M52" s="127">
        <f t="shared" si="21"/>
        <v>180.63106693792884</v>
      </c>
    </row>
    <row r="53" spans="1:13" ht="30">
      <c r="A53" s="126" t="s">
        <v>90</v>
      </c>
      <c r="B53" s="127">
        <f>B28+B32+B33-B51</f>
        <v>178.0054477938634</v>
      </c>
      <c r="C53" s="127" t="s">
        <v>50</v>
      </c>
      <c r="D53" s="127">
        <f t="shared" ref="D53:L53" si="23">D28+D32+D33-D51</f>
        <v>178.80544779386338</v>
      </c>
      <c r="E53" s="127" t="s">
        <v>50</v>
      </c>
      <c r="F53" s="127">
        <f t="shared" si="23"/>
        <v>178.80544779386338</v>
      </c>
      <c r="G53" s="127" t="s">
        <v>50</v>
      </c>
      <c r="H53" s="127">
        <f t="shared" si="23"/>
        <v>182.23106693792883</v>
      </c>
      <c r="I53" s="127" t="s">
        <v>50</v>
      </c>
      <c r="J53" s="127">
        <f t="shared" si="23"/>
        <v>181.23106693792883</v>
      </c>
      <c r="K53" s="127" t="s">
        <v>50</v>
      </c>
      <c r="L53" s="127">
        <f t="shared" si="23"/>
        <v>181.23106693792883</v>
      </c>
      <c r="M53" s="127" t="s">
        <v>50</v>
      </c>
    </row>
    <row r="54" spans="1:13">
      <c r="A54" s="104" t="s">
        <v>34</v>
      </c>
      <c r="B54" s="103"/>
      <c r="C54" s="103"/>
      <c r="D54" s="106"/>
      <c r="E54" s="106"/>
      <c r="F54" s="106"/>
      <c r="G54" s="106"/>
      <c r="H54" s="106"/>
      <c r="I54" s="106"/>
      <c r="J54" s="106"/>
      <c r="K54" s="106"/>
      <c r="L54" s="106"/>
      <c r="M54" s="106"/>
    </row>
    <row r="55" spans="1:13" ht="15">
      <c r="A55" s="107" t="s">
        <v>35</v>
      </c>
      <c r="B55" s="67">
        <v>4</v>
      </c>
      <c r="C55" s="67">
        <v>4</v>
      </c>
      <c r="D55" s="67">
        <v>6</v>
      </c>
      <c r="E55" s="67">
        <v>6</v>
      </c>
      <c r="F55" s="95">
        <v>7</v>
      </c>
      <c r="G55" s="95">
        <v>7</v>
      </c>
      <c r="H55" s="67">
        <v>4</v>
      </c>
      <c r="I55" s="67">
        <v>4</v>
      </c>
      <c r="J55" s="67">
        <v>6</v>
      </c>
      <c r="K55" s="67">
        <v>6</v>
      </c>
      <c r="L55" s="95">
        <v>7</v>
      </c>
      <c r="M55" s="95">
        <v>7</v>
      </c>
    </row>
    <row r="56" spans="1:13" ht="30">
      <c r="A56" s="107" t="s">
        <v>36</v>
      </c>
      <c r="B56" s="67" t="s">
        <v>50</v>
      </c>
      <c r="C56" s="67">
        <v>6.3</v>
      </c>
      <c r="D56" s="67" t="s">
        <v>50</v>
      </c>
      <c r="E56" s="67">
        <v>10.26</v>
      </c>
      <c r="F56" s="95" t="s">
        <v>50</v>
      </c>
      <c r="G56" s="95">
        <v>14.07</v>
      </c>
      <c r="H56" s="67" t="s">
        <v>50</v>
      </c>
      <c r="I56" s="67">
        <v>6.3</v>
      </c>
      <c r="J56" s="67" t="s">
        <v>50</v>
      </c>
      <c r="K56" s="67">
        <v>10.26</v>
      </c>
      <c r="L56" s="95" t="s">
        <v>50</v>
      </c>
      <c r="M56" s="95">
        <v>14.07</v>
      </c>
    </row>
    <row r="57" spans="1:13" ht="30">
      <c r="A57" s="107" t="s">
        <v>37</v>
      </c>
      <c r="B57" s="67">
        <v>6.3</v>
      </c>
      <c r="C57" s="67" t="s">
        <v>50</v>
      </c>
      <c r="D57" s="67">
        <v>10.26</v>
      </c>
      <c r="E57" s="67" t="s">
        <v>50</v>
      </c>
      <c r="F57" s="95">
        <v>14.07</v>
      </c>
      <c r="G57" s="95" t="s">
        <v>50</v>
      </c>
      <c r="H57" s="67">
        <v>6.3</v>
      </c>
      <c r="I57" s="67" t="s">
        <v>50</v>
      </c>
      <c r="J57" s="67">
        <v>10.26</v>
      </c>
      <c r="K57" s="67" t="s">
        <v>50</v>
      </c>
      <c r="L57" s="95">
        <v>14.07</v>
      </c>
      <c r="M57" s="95" t="s">
        <v>50</v>
      </c>
    </row>
    <row r="58" spans="1:13" ht="15">
      <c r="A58" s="107" t="s">
        <v>38</v>
      </c>
      <c r="B58" s="67">
        <v>0</v>
      </c>
      <c r="C58" s="67">
        <v>0</v>
      </c>
      <c r="D58" s="70">
        <v>0</v>
      </c>
      <c r="E58" s="70">
        <v>0</v>
      </c>
      <c r="F58" s="70">
        <v>0</v>
      </c>
      <c r="G58" s="70">
        <v>0</v>
      </c>
      <c r="H58" s="70">
        <v>0</v>
      </c>
      <c r="I58" s="70">
        <v>0</v>
      </c>
      <c r="J58" s="70">
        <v>0</v>
      </c>
      <c r="K58" s="70">
        <v>0</v>
      </c>
      <c r="L58" s="70">
        <v>0</v>
      </c>
      <c r="M58" s="70">
        <v>0</v>
      </c>
    </row>
    <row r="59" spans="1:13" ht="15">
      <c r="A59" s="107" t="s">
        <v>39</v>
      </c>
      <c r="B59" s="67">
        <v>0</v>
      </c>
      <c r="C59" s="67">
        <v>0</v>
      </c>
      <c r="D59" s="67">
        <v>0</v>
      </c>
      <c r="E59" s="67">
        <v>0</v>
      </c>
      <c r="F59" s="67">
        <f>20+0.5*12.5</f>
        <v>26.25</v>
      </c>
      <c r="G59" s="67">
        <f>20+0.5*12.5</f>
        <v>26.25</v>
      </c>
      <c r="H59" s="67">
        <v>0</v>
      </c>
      <c r="I59" s="67">
        <v>0</v>
      </c>
      <c r="J59" s="67">
        <v>0</v>
      </c>
      <c r="K59" s="67">
        <v>0</v>
      </c>
      <c r="L59" s="67">
        <f>20+0.5*12.5</f>
        <v>26.25</v>
      </c>
      <c r="M59" s="67">
        <f>20+0.5*12.5</f>
        <v>26.25</v>
      </c>
    </row>
    <row r="60" spans="1:13" ht="15">
      <c r="A60" s="107" t="s">
        <v>40</v>
      </c>
      <c r="B60" s="67">
        <v>0</v>
      </c>
      <c r="C60" s="67">
        <v>0</v>
      </c>
      <c r="D60" s="70">
        <v>0</v>
      </c>
      <c r="E60" s="70">
        <v>0</v>
      </c>
      <c r="F60" s="70">
        <v>0</v>
      </c>
      <c r="G60" s="70">
        <v>0</v>
      </c>
      <c r="H60" s="70">
        <v>0</v>
      </c>
      <c r="I60" s="70">
        <v>0</v>
      </c>
      <c r="J60" s="70">
        <v>0</v>
      </c>
      <c r="K60" s="70">
        <v>0</v>
      </c>
      <c r="L60" s="70">
        <v>0</v>
      </c>
      <c r="M60" s="70">
        <v>0</v>
      </c>
    </row>
    <row r="61" spans="1:13" ht="30">
      <c r="A61" s="126" t="s">
        <v>49</v>
      </c>
      <c r="B61" s="127" t="s">
        <v>50</v>
      </c>
      <c r="C61" s="127">
        <f t="shared" ref="C61:M61" si="24">C52-C56+C58-C59+C60-C34</f>
        <v>172.00544779386337</v>
      </c>
      <c r="D61" s="127" t="s">
        <v>50</v>
      </c>
      <c r="E61" s="127">
        <f t="shared" si="24"/>
        <v>167.54544779386339</v>
      </c>
      <c r="F61" s="127" t="s">
        <v>50</v>
      </c>
      <c r="G61" s="127">
        <f t="shared" si="24"/>
        <v>137.48544779386339</v>
      </c>
      <c r="H61" s="127" t="s">
        <v>50</v>
      </c>
      <c r="I61" s="127">
        <f t="shared" si="24"/>
        <v>173.23106693792883</v>
      </c>
      <c r="J61" s="127" t="s">
        <v>50</v>
      </c>
      <c r="K61" s="127">
        <f t="shared" si="24"/>
        <v>167.37106693792884</v>
      </c>
      <c r="L61" s="127" t="s">
        <v>50</v>
      </c>
      <c r="M61" s="127">
        <f t="shared" si="24"/>
        <v>137.31106693792884</v>
      </c>
    </row>
    <row r="62" spans="1:13" ht="30">
      <c r="A62" s="126" t="s">
        <v>46</v>
      </c>
      <c r="B62" s="127">
        <f t="shared" ref="B62:L62" si="25">B53-B57+B58-B59+B60-B34</f>
        <v>171.70544779386339</v>
      </c>
      <c r="C62" s="127" t="s">
        <v>50</v>
      </c>
      <c r="D62" s="127">
        <f t="shared" si="25"/>
        <v>168.54544779386339</v>
      </c>
      <c r="E62" s="127" t="s">
        <v>50</v>
      </c>
      <c r="F62" s="127">
        <f t="shared" si="25"/>
        <v>138.48544779386339</v>
      </c>
      <c r="G62" s="127" t="s">
        <v>50</v>
      </c>
      <c r="H62" s="127">
        <f t="shared" si="25"/>
        <v>172.93106693792882</v>
      </c>
      <c r="I62" s="127" t="s">
        <v>50</v>
      </c>
      <c r="J62" s="127">
        <f t="shared" si="25"/>
        <v>167.97106693792884</v>
      </c>
      <c r="K62" s="127" t="s">
        <v>50</v>
      </c>
      <c r="L62" s="127">
        <f t="shared" si="25"/>
        <v>137.91106693792884</v>
      </c>
      <c r="M62" s="127" t="s">
        <v>50</v>
      </c>
    </row>
    <row r="63" spans="1:13">
      <c r="A63" s="104" t="s">
        <v>41</v>
      </c>
      <c r="B63" s="103"/>
      <c r="C63" s="103"/>
      <c r="D63" s="106"/>
      <c r="E63" s="106"/>
      <c r="F63" s="106"/>
      <c r="G63" s="106"/>
      <c r="H63" s="106"/>
      <c r="I63" s="106"/>
      <c r="J63" s="106"/>
      <c r="K63" s="106"/>
      <c r="L63" s="106"/>
      <c r="M63" s="106"/>
    </row>
    <row r="64" spans="1:13" ht="15">
      <c r="A64" s="129"/>
      <c r="B64" s="130"/>
      <c r="C64" s="130"/>
      <c r="D64" s="131"/>
      <c r="E64" s="131"/>
      <c r="F64" s="131"/>
      <c r="G64" s="131"/>
      <c r="H64" s="131"/>
      <c r="I64" s="131"/>
      <c r="J64" s="131"/>
      <c r="K64" s="131"/>
      <c r="L64" s="131"/>
      <c r="M64" s="131"/>
    </row>
    <row r="65" spans="1:13" ht="45">
      <c r="A65" s="129" t="s">
        <v>42</v>
      </c>
      <c r="B65" s="67" t="s">
        <v>50</v>
      </c>
      <c r="C65" s="67">
        <f>SQRT((10^((C61-28-20*LOG10(C$4)+9*LOG10(112^2+(C$5-C$6)^2))/40) )^2-(C$5-C$6)^2)</f>
        <v>40174.008381932588</v>
      </c>
      <c r="D65" s="67" t="s">
        <v>50</v>
      </c>
      <c r="E65" s="67">
        <f>SQRT((10^((E61-161.04+7.1*LOG10(20)-7.5*LOG10(20)+(24.37-3.7*(20/E5)^2)*LOG10(E5)-20*LOG10(E4)+(3.2*(LOG10(17.625))^2-4.97)+0.6*(E6-1.5))/(43.42-3.1*LOG10(E5))+3))^2-(E5-E6)^2)</f>
        <v>10453.704448474071</v>
      </c>
      <c r="F65" s="67" t="s">
        <v>50</v>
      </c>
      <c r="G65" s="67">
        <f>SQRT((10^((G61-161.04+7.1*LOG10(20)-7.5*LOG10(20)+(24.37-3.7*(20/G5)^2)*LOG10(G5)-20*LOG10(G4)+(3.2*(LOG10(17.625))^2-4.97)+0.6*(G6-1.5))/(43.42-3.1*LOG10(G5))+3))^2-(G5-G6)^2)</f>
        <v>1778.966190913932</v>
      </c>
      <c r="H65" s="67" t="s">
        <v>50</v>
      </c>
      <c r="I65" s="67">
        <f>SQRT((10^((I61-28-20*LOG10(I$4)+9*LOG10(112^2+(I$5-I$6)^2))/40) )^2-(I$5-I$6)^2)</f>
        <v>43110.75753038426</v>
      </c>
      <c r="J65" s="67" t="s">
        <v>50</v>
      </c>
      <c r="K65" s="67">
        <f>SQRT((10^((K61-161.04+7.1*LOG10(20)-7.5*LOG10(20)+(24.37-3.7*(20/K5)^2)*LOG10(K5)-20*LOG10(K4)+(3.2*(LOG10(17.625))^2-4.97)+0.6*(K6-1.5))/(43.42-3.1*LOG10(K5))+3))^2-(K5-K6)^2)</f>
        <v>10346.864763311562</v>
      </c>
      <c r="L65" s="67" t="s">
        <v>50</v>
      </c>
      <c r="M65" s="67">
        <f>SQRT((10^((M61-161.04+7.1*LOG10(20)-7.5*LOG10(20)+(24.37-3.7*(20/M5)^2)*LOG10(M5)-20*LOG10(M4)+(3.2*(LOG10(17.625))^2-4.97)+0.6*(M6-1.5))/(43.42-3.1*LOG10(M5))+3))^2-(M5-M6)^2)</f>
        <v>1760.7815788551247</v>
      </c>
    </row>
    <row r="66" spans="1:13" ht="45">
      <c r="A66" s="129" t="s">
        <v>43</v>
      </c>
      <c r="B66" s="67">
        <f>SQRT((10^((B62-28-20*LOG10(B$4)+9*LOG10(112^2+(B$5-B$6)^2))/40) )^2-(B$5-B$6)^2)</f>
        <v>39486.183844923165</v>
      </c>
      <c r="C66" s="67" t="s">
        <v>50</v>
      </c>
      <c r="D66" s="67">
        <f>SQRT((10^((D62-161.04+7.1*LOG10(20)-7.5*LOG10(20)+(24.37-3.7*(20/D5)^2)*LOG10(D5)-20*LOG10(D4)+(3.2*(LOG10(17.625))^2-4.97)+0.6*(D6-1.5))/(43.42-3.1*LOG10(D5))+3))^2-(D5-D6)^2)</f>
        <v>11088.037728125189</v>
      </c>
      <c r="E66" s="67" t="s">
        <v>50</v>
      </c>
      <c r="F66" s="67">
        <f>SQRT((10^((F62-161.04+7.1*LOG10(20)-7.5*LOG10(20)+(24.37-3.7*(20/F5)^2)*LOG10(F5)-20*LOG10(F4)+(3.2*(LOG10(17.625))^2-4.97)+0.6*(F6-1.5))/(43.42-3.1*LOG10(F5))+3))^2-(F5-F6)^2)</f>
        <v>1886.9320519894604</v>
      </c>
      <c r="G66" s="67" t="s">
        <v>50</v>
      </c>
      <c r="H66" s="67">
        <f>SQRT((10^((H62-28-20*LOG10(H$4)+9*LOG10(112^2+(H$5-H$6)^2))/40) )^2-(H$5-H$6)^2)</f>
        <v>42372.652554409324</v>
      </c>
      <c r="I66" s="67" t="s">
        <v>50</v>
      </c>
      <c r="J66" s="67">
        <f>SQRT((10^((J62-161.04+7.1*LOG10(20)-7.5*LOG10(20)+(24.37-3.7*(20/J5)^2)*LOG10(J5)-20*LOG10(J4)+(3.2*(LOG10(17.625))^2-4.97)+0.6*(J6-1.5))/(43.42-3.1*LOG10(J5))+3))^2-(J5-J6)^2)</f>
        <v>10719.128138852448</v>
      </c>
      <c r="K66" s="67" t="s">
        <v>50</v>
      </c>
      <c r="L66" s="67">
        <f>SQRT((10^((L62-161.04+7.1*LOG10(20)-7.5*LOG10(20)+(24.37-3.7*(20/L5)^2)*LOG10(L5)-20*LOG10(L4)+(3.2*(LOG10(17.625))^2-4.97)+0.6*(L6-1.5))/(43.42-3.1*LOG10(L5))+3))^2-(L5-L6)^2)</f>
        <v>1824.1424050250334</v>
      </c>
      <c r="M66" s="67" t="s">
        <v>50</v>
      </c>
    </row>
    <row r="67" spans="1:13" ht="18">
      <c r="A67" s="129" t="s">
        <v>111</v>
      </c>
      <c r="B67" s="67" t="s">
        <v>50</v>
      </c>
      <c r="C67" s="67">
        <f>PI()*(C65)^2</f>
        <v>5070376446.1142178</v>
      </c>
      <c r="D67" s="67" t="s">
        <v>50</v>
      </c>
      <c r="E67" s="67">
        <f>PI()*(E65)^2</f>
        <v>343313046.30905759</v>
      </c>
      <c r="F67" s="67" t="s">
        <v>50</v>
      </c>
      <c r="G67" s="67">
        <f>PI()*(G65)^2</f>
        <v>9942263.3282194976</v>
      </c>
      <c r="H67" s="67" t="s">
        <v>50</v>
      </c>
      <c r="I67" s="67">
        <f>PI()*(I65)^2</f>
        <v>5838767488.8943663</v>
      </c>
      <c r="J67" s="67" t="s">
        <v>50</v>
      </c>
      <c r="K67" s="67">
        <f>PI()*(K65)^2</f>
        <v>336331402.43857789</v>
      </c>
      <c r="L67" s="67" t="s">
        <v>50</v>
      </c>
      <c r="M67" s="67">
        <f>PI()*(M65)^2</f>
        <v>9740042.3392612338</v>
      </c>
    </row>
    <row r="68" spans="1:13" ht="18">
      <c r="A68" s="129" t="s">
        <v>112</v>
      </c>
      <c r="B68" s="67">
        <f>PI()*(B66)^2</f>
        <v>4898241563.6780443</v>
      </c>
      <c r="C68" s="67" t="s">
        <v>50</v>
      </c>
      <c r="D68" s="67">
        <f>PI()*(D66)^2</f>
        <v>386241791.40116298</v>
      </c>
      <c r="E68" s="67" t="s">
        <v>50</v>
      </c>
      <c r="F68" s="67">
        <f>PI()*(F66)^2</f>
        <v>11185680.129235232</v>
      </c>
      <c r="G68" s="67" t="s">
        <v>50</v>
      </c>
      <c r="H68" s="67">
        <f>PI()*(H66)^2</f>
        <v>5640546405.9636879</v>
      </c>
      <c r="I68" s="67" t="s">
        <v>50</v>
      </c>
      <c r="J68" s="67">
        <f>PI()*(J66)^2</f>
        <v>360968078.73191774</v>
      </c>
      <c r="K68" s="67" t="s">
        <v>50</v>
      </c>
      <c r="L68" s="67">
        <f>PI()*(L66)^2</f>
        <v>10453635.461040102</v>
      </c>
      <c r="M68" s="67" t="s">
        <v>50</v>
      </c>
    </row>
    <row r="69" spans="1:13" ht="15.75">
      <c r="A69" s="132"/>
      <c r="B69" s="112"/>
      <c r="C69" s="112"/>
      <c r="D69" s="70"/>
      <c r="E69" s="70"/>
      <c r="F69" s="70"/>
      <c r="G69" s="70"/>
      <c r="H69" s="70"/>
      <c r="I69" s="70"/>
      <c r="J69" s="70"/>
      <c r="K69" s="70"/>
      <c r="L69" s="70"/>
      <c r="M69" s="70"/>
    </row>
    <row r="70" spans="1:13" ht="15.75">
      <c r="A70" s="132"/>
      <c r="B70" s="112"/>
      <c r="C70" s="112"/>
      <c r="D70" s="70"/>
      <c r="E70" s="70"/>
      <c r="F70" s="70"/>
      <c r="G70" s="70"/>
      <c r="H70" s="70"/>
      <c r="I70" s="70"/>
      <c r="J70" s="70"/>
      <c r="K70" s="70"/>
      <c r="L70" s="70"/>
      <c r="M70" s="70"/>
    </row>
    <row r="71" spans="1:13" ht="15.75">
      <c r="A71" s="132"/>
      <c r="B71" s="112"/>
      <c r="C71" s="112"/>
      <c r="D71" s="70"/>
      <c r="E71" s="70"/>
      <c r="F71" s="70"/>
      <c r="G71" s="70"/>
      <c r="H71" s="70"/>
      <c r="I71" s="70"/>
      <c r="J71" s="70"/>
      <c r="K71" s="70"/>
      <c r="L71" s="70"/>
      <c r="M71" s="70"/>
    </row>
    <row r="72" spans="1:13" ht="15.75">
      <c r="A72" s="132"/>
      <c r="B72" s="112"/>
      <c r="C72" s="112"/>
      <c r="D72" s="70"/>
      <c r="E72" s="70"/>
      <c r="F72" s="70"/>
      <c r="G72" s="70"/>
      <c r="H72" s="70"/>
      <c r="I72" s="70"/>
      <c r="J72" s="70"/>
      <c r="K72" s="70"/>
      <c r="L72" s="70"/>
      <c r="M72" s="70"/>
    </row>
    <row r="73" spans="1:13" ht="15">
      <c r="A73" s="133"/>
      <c r="B73" s="112"/>
      <c r="C73" s="112"/>
      <c r="D73" s="70"/>
      <c r="E73" s="70"/>
      <c r="F73" s="70"/>
      <c r="G73" s="70"/>
      <c r="H73" s="112"/>
      <c r="I73" s="112"/>
      <c r="J73" s="70"/>
      <c r="K73" s="70"/>
      <c r="L73" s="70"/>
      <c r="M73" s="70"/>
    </row>
    <row r="74" spans="1:13" ht="15.75">
      <c r="A74" s="132"/>
      <c r="B74" s="112"/>
      <c r="C74" s="112"/>
      <c r="D74" s="70"/>
      <c r="E74" s="70"/>
      <c r="F74" s="70"/>
      <c r="G74" s="70"/>
      <c r="H74" s="70"/>
      <c r="I74" s="70"/>
      <c r="J74" s="70"/>
      <c r="K74" s="70"/>
      <c r="L74" s="70"/>
      <c r="M74" s="70"/>
    </row>
    <row r="75" spans="1:13" ht="15.75">
      <c r="A75" s="132" t="s">
        <v>187</v>
      </c>
      <c r="B75" s="112"/>
      <c r="C75" s="112"/>
      <c r="D75" s="70"/>
      <c r="E75" s="70"/>
      <c r="F75" s="70"/>
      <c r="G75" s="70"/>
      <c r="H75" s="70"/>
      <c r="I75" s="70"/>
      <c r="J75" s="70"/>
      <c r="K75" s="70"/>
      <c r="L75" s="70"/>
      <c r="M75" s="70"/>
    </row>
    <row r="76" spans="1:13" ht="15.75">
      <c r="A76" s="132" t="s">
        <v>188</v>
      </c>
      <c r="B76" s="112"/>
      <c r="C76" s="112"/>
      <c r="D76" s="70"/>
      <c r="E76" s="70"/>
      <c r="F76" s="70"/>
      <c r="G76" s="70"/>
      <c r="H76" s="70"/>
      <c r="I76" s="70"/>
      <c r="J76" s="70"/>
      <c r="K76" s="70"/>
      <c r="L76" s="70"/>
      <c r="M76" s="70"/>
    </row>
  </sheetData>
  <mergeCells count="2">
    <mergeCell ref="B1:G1"/>
    <mergeCell ref="H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70" zoomScaleNormal="70" workbookViewId="0">
      <pane xSplit="1" ySplit="2" topLeftCell="B3" activePane="bottomRight" state="frozen"/>
      <selection pane="topRight" activeCell="B1" sqref="B1"/>
      <selection pane="bottomLeft" activeCell="A4" sqref="A4"/>
      <selection pane="bottomRight" activeCell="I17" sqref="I17"/>
    </sheetView>
  </sheetViews>
  <sheetFormatPr defaultColWidth="8.875" defaultRowHeight="14.25"/>
  <cols>
    <col min="1" max="1" width="69" customWidth="1"/>
    <col min="2" max="2" width="11.625" style="65" bestFit="1" customWidth="1"/>
    <col min="3" max="3" width="14.625" bestFit="1" customWidth="1"/>
    <col min="4" max="4" width="12.625" customWidth="1"/>
    <col min="5" max="5" width="12.125" style="64" customWidth="1"/>
    <col min="6" max="6" width="12.625" style="64" customWidth="1"/>
    <col min="7" max="7" width="13.375" bestFit="1" customWidth="1"/>
    <col min="8" max="8" width="12" customWidth="1"/>
    <col min="9" max="9" width="13.125" style="64" customWidth="1"/>
    <col min="10" max="10" width="14.625" bestFit="1" customWidth="1"/>
    <col min="11" max="11" width="12.625" customWidth="1"/>
    <col min="12" max="12" width="14.125" customWidth="1"/>
    <col min="13" max="13" width="13.875" customWidth="1"/>
  </cols>
  <sheetData>
    <row r="1" spans="1:13">
      <c r="A1" s="13" t="s">
        <v>0</v>
      </c>
      <c r="B1" s="14" t="s">
        <v>48</v>
      </c>
      <c r="C1" s="146" t="s">
        <v>47</v>
      </c>
      <c r="D1" s="147"/>
      <c r="E1" s="146" t="s">
        <v>48</v>
      </c>
      <c r="F1" s="147"/>
      <c r="G1" s="146" t="s">
        <v>47</v>
      </c>
      <c r="H1" s="147"/>
      <c r="I1" s="14" t="s">
        <v>48</v>
      </c>
      <c r="J1" s="146" t="s">
        <v>47</v>
      </c>
      <c r="K1" s="147"/>
      <c r="L1" s="146" t="s">
        <v>47</v>
      </c>
      <c r="M1" s="147"/>
    </row>
    <row r="2" spans="1:13" ht="42.75">
      <c r="A2" s="13"/>
      <c r="B2" s="14" t="s">
        <v>209</v>
      </c>
      <c r="C2" s="85" t="s">
        <v>208</v>
      </c>
      <c r="D2" s="85" t="s">
        <v>207</v>
      </c>
      <c r="E2" s="14" t="s">
        <v>210</v>
      </c>
      <c r="F2" s="14" t="s">
        <v>218</v>
      </c>
      <c r="G2" s="85" t="s">
        <v>246</v>
      </c>
      <c r="H2" s="85" t="s">
        <v>216</v>
      </c>
      <c r="I2" s="14" t="s">
        <v>219</v>
      </c>
      <c r="J2" s="85" t="s">
        <v>212</v>
      </c>
      <c r="K2" s="85" t="s">
        <v>211</v>
      </c>
      <c r="L2" s="85" t="s">
        <v>247</v>
      </c>
      <c r="M2" s="85" t="s">
        <v>221</v>
      </c>
    </row>
    <row r="3" spans="1:13">
      <c r="A3" s="15" t="s">
        <v>1</v>
      </c>
      <c r="B3" s="15"/>
      <c r="C3" s="15"/>
      <c r="D3" s="15"/>
      <c r="E3" s="15"/>
      <c r="F3" s="15"/>
      <c r="G3" s="15"/>
      <c r="H3" s="15"/>
      <c r="I3" s="15"/>
      <c r="J3" s="15"/>
      <c r="K3" s="15"/>
      <c r="L3" s="15"/>
      <c r="M3" s="15"/>
    </row>
    <row r="4" spans="1:13" ht="15">
      <c r="A4" s="16" t="s">
        <v>2</v>
      </c>
      <c r="B4" s="30">
        <v>0.7</v>
      </c>
      <c r="C4" s="31">
        <v>0.7</v>
      </c>
      <c r="D4" s="30">
        <v>0.7</v>
      </c>
      <c r="E4" s="31">
        <v>0.7</v>
      </c>
      <c r="F4" s="30">
        <v>0.7</v>
      </c>
      <c r="G4" s="31">
        <v>0.7</v>
      </c>
      <c r="H4" s="30">
        <v>0.7</v>
      </c>
      <c r="I4" s="31">
        <v>0.7</v>
      </c>
      <c r="J4" s="31">
        <v>0.7</v>
      </c>
      <c r="K4" s="30">
        <v>0.7</v>
      </c>
      <c r="L4" s="31">
        <v>0.7</v>
      </c>
      <c r="M4" s="30">
        <v>0.7</v>
      </c>
    </row>
    <row r="5" spans="1:13" ht="15">
      <c r="A5" s="16" t="s">
        <v>3</v>
      </c>
      <c r="B5" s="30">
        <v>25</v>
      </c>
      <c r="C5" s="31">
        <v>25</v>
      </c>
      <c r="D5" s="31">
        <v>25</v>
      </c>
      <c r="E5" s="31">
        <v>25</v>
      </c>
      <c r="F5" s="30">
        <v>25</v>
      </c>
      <c r="G5" s="31">
        <v>25</v>
      </c>
      <c r="H5" s="31">
        <v>25</v>
      </c>
      <c r="I5" s="31">
        <v>25</v>
      </c>
      <c r="J5" s="31">
        <v>25</v>
      </c>
      <c r="K5" s="31">
        <v>25</v>
      </c>
      <c r="L5" s="31">
        <v>25</v>
      </c>
      <c r="M5" s="31">
        <v>25</v>
      </c>
    </row>
    <row r="6" spans="1:13" ht="15">
      <c r="A6" s="16" t="s">
        <v>4</v>
      </c>
      <c r="B6" s="30">
        <v>1.5</v>
      </c>
      <c r="C6" s="31">
        <v>1.5</v>
      </c>
      <c r="D6" s="30">
        <v>1.5</v>
      </c>
      <c r="E6" s="31">
        <v>1.5</v>
      </c>
      <c r="F6" s="30">
        <v>1.5</v>
      </c>
      <c r="G6" s="31">
        <v>1.5</v>
      </c>
      <c r="H6" s="30">
        <v>1.5</v>
      </c>
      <c r="I6" s="31">
        <v>1.5</v>
      </c>
      <c r="J6" s="31">
        <v>1.5</v>
      </c>
      <c r="K6" s="30">
        <v>1.5</v>
      </c>
      <c r="L6" s="31">
        <v>1.5</v>
      </c>
      <c r="M6" s="30">
        <v>1.5</v>
      </c>
    </row>
    <row r="7" spans="1:13" ht="15">
      <c r="A7" s="16" t="s">
        <v>202</v>
      </c>
      <c r="B7" s="17" t="s">
        <v>170</v>
      </c>
      <c r="C7" s="17">
        <v>0.95</v>
      </c>
      <c r="D7" s="17" t="s">
        <v>50</v>
      </c>
      <c r="E7" s="17">
        <v>0.95</v>
      </c>
      <c r="F7" s="17" t="s">
        <v>172</v>
      </c>
      <c r="G7" s="17">
        <v>0.95</v>
      </c>
      <c r="H7" s="17" t="s">
        <v>50</v>
      </c>
      <c r="I7" s="17">
        <v>0.95</v>
      </c>
      <c r="J7" s="17">
        <v>0.95</v>
      </c>
      <c r="K7" s="17" t="s">
        <v>163</v>
      </c>
      <c r="L7" s="17">
        <v>0.95</v>
      </c>
      <c r="M7" s="17" t="s">
        <v>163</v>
      </c>
    </row>
    <row r="8" spans="1:13" ht="15">
      <c r="A8" s="16" t="s">
        <v>203</v>
      </c>
      <c r="B8" s="17">
        <v>0.9</v>
      </c>
      <c r="C8" s="17" t="s">
        <v>50</v>
      </c>
      <c r="D8" s="17">
        <v>0.9</v>
      </c>
      <c r="E8" s="17" t="s">
        <v>172</v>
      </c>
      <c r="F8" s="17">
        <v>0.9</v>
      </c>
      <c r="G8" s="17" t="s">
        <v>50</v>
      </c>
      <c r="H8" s="17">
        <v>0.9</v>
      </c>
      <c r="I8" s="17" t="s">
        <v>177</v>
      </c>
      <c r="J8" s="17" t="s">
        <v>50</v>
      </c>
      <c r="K8" s="17">
        <v>0.9</v>
      </c>
      <c r="L8" s="17" t="s">
        <v>163</v>
      </c>
      <c r="M8" s="17">
        <v>0.9</v>
      </c>
    </row>
    <row r="9" spans="1:13" ht="15">
      <c r="A9" s="16" t="s">
        <v>5</v>
      </c>
      <c r="B9" s="30" t="s">
        <v>170</v>
      </c>
      <c r="C9" s="31"/>
      <c r="D9" s="30" t="s">
        <v>50</v>
      </c>
      <c r="E9" s="31"/>
      <c r="F9" s="30" t="s">
        <v>172</v>
      </c>
      <c r="G9" s="31"/>
      <c r="H9" s="30" t="s">
        <v>50</v>
      </c>
      <c r="I9" s="31"/>
      <c r="J9" s="31"/>
      <c r="K9" s="30" t="s">
        <v>50</v>
      </c>
      <c r="L9" s="31"/>
      <c r="M9" s="30" t="s">
        <v>163</v>
      </c>
    </row>
    <row r="10" spans="1:13" ht="15">
      <c r="A10" s="16" t="s">
        <v>6</v>
      </c>
      <c r="B10" s="30">
        <f>32*8/0.001</f>
        <v>256000</v>
      </c>
      <c r="C10" s="31" t="s">
        <v>50</v>
      </c>
      <c r="D10" s="30">
        <f>32*8/0.001</f>
        <v>256000</v>
      </c>
      <c r="E10" s="31" t="s">
        <v>172</v>
      </c>
      <c r="F10" s="30">
        <f>32*8/0.001</f>
        <v>256000</v>
      </c>
      <c r="G10" s="31" t="s">
        <v>50</v>
      </c>
      <c r="H10" s="30">
        <f>32*8/0.001</f>
        <v>256000</v>
      </c>
      <c r="I10" s="31" t="s">
        <v>177</v>
      </c>
      <c r="J10" s="31" t="s">
        <v>50</v>
      </c>
      <c r="K10" s="30">
        <f>32*8/0.001</f>
        <v>256000</v>
      </c>
      <c r="L10" s="31" t="s">
        <v>165</v>
      </c>
      <c r="M10" s="30">
        <f>32*8/0.001</f>
        <v>256000</v>
      </c>
    </row>
    <row r="11" spans="1:13" ht="15">
      <c r="A11" s="60" t="s">
        <v>7</v>
      </c>
      <c r="B11" s="61" t="s">
        <v>103</v>
      </c>
      <c r="C11" s="61">
        <v>1.0000000000000001E-5</v>
      </c>
      <c r="D11" s="61" t="s">
        <v>50</v>
      </c>
      <c r="E11" s="61">
        <v>1.0000000000000001E-5</v>
      </c>
      <c r="F11" s="61" t="s">
        <v>172</v>
      </c>
      <c r="G11" s="61">
        <v>1.0000000000000001E-5</v>
      </c>
      <c r="H11" s="61" t="s">
        <v>50</v>
      </c>
      <c r="I11" s="61">
        <v>1.0000000000000001E-5</v>
      </c>
      <c r="J11" s="61">
        <v>1.0000000000000001E-5</v>
      </c>
      <c r="K11" s="61" t="s">
        <v>50</v>
      </c>
      <c r="L11" s="61">
        <v>1.0000000000000001E-5</v>
      </c>
      <c r="M11" s="61" t="s">
        <v>165</v>
      </c>
    </row>
    <row r="12" spans="1:13" ht="15">
      <c r="A12" s="60" t="s">
        <v>8</v>
      </c>
      <c r="B12" s="61">
        <v>1.0000000000000001E-5</v>
      </c>
      <c r="C12" s="62" t="s">
        <v>50</v>
      </c>
      <c r="D12" s="61">
        <v>1.0000000000000001E-5</v>
      </c>
      <c r="E12" s="62" t="s">
        <v>172</v>
      </c>
      <c r="F12" s="61">
        <v>1.0000000000000001E-5</v>
      </c>
      <c r="G12" s="62" t="s">
        <v>50</v>
      </c>
      <c r="H12" s="61">
        <v>1.0000000000000001E-5</v>
      </c>
      <c r="I12" s="62" t="s">
        <v>177</v>
      </c>
      <c r="J12" s="62" t="s">
        <v>164</v>
      </c>
      <c r="K12" s="61">
        <v>1.0000000000000001E-5</v>
      </c>
      <c r="L12" s="62" t="s">
        <v>50</v>
      </c>
      <c r="M12" s="61">
        <v>1.0000000000000001E-5</v>
      </c>
    </row>
    <row r="13" spans="1:13" ht="16.5">
      <c r="A13" s="16" t="s">
        <v>91</v>
      </c>
      <c r="B13" s="30">
        <f>B10/B42</f>
        <v>4.4444444444444446E-2</v>
      </c>
      <c r="C13" s="31" t="s">
        <v>50</v>
      </c>
      <c r="D13" s="30">
        <f>D10/D42</f>
        <v>1.3943355119825708E-2</v>
      </c>
      <c r="E13" s="31" t="s">
        <v>172</v>
      </c>
      <c r="F13" s="30">
        <f>F10/F42</f>
        <v>4.4444444444444446E-2</v>
      </c>
      <c r="G13" s="31" t="s">
        <v>50</v>
      </c>
      <c r="H13" s="30">
        <f>H10/H42</f>
        <v>1.3943355119825708E-2</v>
      </c>
      <c r="I13" s="31" t="s">
        <v>177</v>
      </c>
      <c r="J13" s="62" t="s">
        <v>164</v>
      </c>
      <c r="K13" s="30">
        <f t="shared" ref="K13" si="0">K10/(K42*(4+2*11/14+1/14)/10)</f>
        <v>2.4709743250324042E-2</v>
      </c>
      <c r="L13" s="31" t="s">
        <v>164</v>
      </c>
      <c r="M13" s="30">
        <f>M10/M42</f>
        <v>1.3943355119825708E-2</v>
      </c>
    </row>
    <row r="14" spans="1:13" ht="16.5">
      <c r="A14" s="16" t="s">
        <v>92</v>
      </c>
      <c r="B14" s="31" t="s">
        <v>114</v>
      </c>
      <c r="C14" s="31" t="s">
        <v>81</v>
      </c>
      <c r="D14" s="30" t="s">
        <v>81</v>
      </c>
      <c r="E14" s="31" t="s">
        <v>173</v>
      </c>
      <c r="F14" s="31" t="s">
        <v>174</v>
      </c>
      <c r="G14" s="31" t="s">
        <v>82</v>
      </c>
      <c r="H14" s="31" t="s">
        <v>82</v>
      </c>
      <c r="I14" s="31" t="s">
        <v>178</v>
      </c>
      <c r="J14" s="31" t="s">
        <v>109</v>
      </c>
      <c r="K14" s="30" t="s">
        <v>109</v>
      </c>
      <c r="L14" s="31" t="s">
        <v>167</v>
      </c>
      <c r="M14" s="31" t="s">
        <v>167</v>
      </c>
    </row>
    <row r="15" spans="1:13" ht="15">
      <c r="A15" s="16" t="s">
        <v>80</v>
      </c>
      <c r="B15" s="30">
        <v>30</v>
      </c>
      <c r="C15" s="31">
        <v>30</v>
      </c>
      <c r="D15" s="31">
        <v>30</v>
      </c>
      <c r="E15" s="31">
        <v>30</v>
      </c>
      <c r="F15" s="31">
        <v>3</v>
      </c>
      <c r="G15" s="31">
        <v>3</v>
      </c>
      <c r="H15" s="31">
        <v>3</v>
      </c>
      <c r="I15" s="31">
        <v>3</v>
      </c>
      <c r="J15" s="31">
        <v>30</v>
      </c>
      <c r="K15" s="31">
        <v>30</v>
      </c>
      <c r="L15" s="31">
        <v>3</v>
      </c>
      <c r="M15" s="31">
        <v>3</v>
      </c>
    </row>
    <row r="16" spans="1:13" ht="15">
      <c r="A16" s="16" t="s">
        <v>9</v>
      </c>
      <c r="B16" s="31">
        <v>3</v>
      </c>
      <c r="C16" s="31">
        <v>3</v>
      </c>
      <c r="D16" s="30">
        <v>3</v>
      </c>
      <c r="E16" s="31">
        <v>3</v>
      </c>
      <c r="F16" s="31">
        <v>3</v>
      </c>
      <c r="G16" s="31">
        <v>3</v>
      </c>
      <c r="H16" s="31">
        <v>3</v>
      </c>
      <c r="I16" s="31">
        <v>3</v>
      </c>
      <c r="J16" s="31">
        <v>3</v>
      </c>
      <c r="K16" s="30">
        <v>3</v>
      </c>
      <c r="L16" s="31">
        <v>3</v>
      </c>
      <c r="M16" s="31">
        <v>3</v>
      </c>
    </row>
    <row r="17" spans="1:13">
      <c r="A17" s="15" t="s">
        <v>10</v>
      </c>
      <c r="B17" s="33"/>
      <c r="C17" s="33"/>
      <c r="D17" s="33"/>
      <c r="E17" s="33"/>
      <c r="F17" s="33"/>
      <c r="G17" s="33"/>
      <c r="H17" s="33"/>
      <c r="I17" s="33"/>
      <c r="J17" s="33"/>
      <c r="K17" s="33"/>
      <c r="L17" s="33"/>
      <c r="M17" s="33"/>
    </row>
    <row r="18" spans="1:13" ht="30">
      <c r="A18" s="16" t="s">
        <v>78</v>
      </c>
      <c r="B18" s="30">
        <v>1</v>
      </c>
      <c r="C18" s="30">
        <v>64</v>
      </c>
      <c r="D18" s="30">
        <v>64</v>
      </c>
      <c r="E18" s="31">
        <v>1</v>
      </c>
      <c r="F18" s="30">
        <v>1</v>
      </c>
      <c r="G18" s="30">
        <v>64</v>
      </c>
      <c r="H18" s="30">
        <v>64</v>
      </c>
      <c r="I18" s="31">
        <v>1</v>
      </c>
      <c r="J18" s="30">
        <v>64</v>
      </c>
      <c r="K18" s="30">
        <v>64</v>
      </c>
      <c r="L18" s="30">
        <v>64</v>
      </c>
      <c r="M18" s="30">
        <v>64</v>
      </c>
    </row>
    <row r="19" spans="1:13" ht="15">
      <c r="A19" s="16" t="s">
        <v>106</v>
      </c>
      <c r="B19" s="30">
        <v>1</v>
      </c>
      <c r="C19" s="30">
        <v>2</v>
      </c>
      <c r="D19" s="30">
        <v>2</v>
      </c>
      <c r="E19" s="31">
        <v>1</v>
      </c>
      <c r="F19" s="30">
        <v>1</v>
      </c>
      <c r="G19" s="30">
        <v>2</v>
      </c>
      <c r="H19" s="30">
        <v>2</v>
      </c>
      <c r="I19" s="31">
        <v>1</v>
      </c>
      <c r="J19" s="30">
        <v>2</v>
      </c>
      <c r="K19" s="30">
        <v>2</v>
      </c>
      <c r="L19" s="30">
        <v>2</v>
      </c>
      <c r="M19" s="30">
        <v>2</v>
      </c>
    </row>
    <row r="20" spans="1:13" ht="15">
      <c r="A20" s="16" t="s">
        <v>11</v>
      </c>
      <c r="B20" s="30">
        <v>23</v>
      </c>
      <c r="C20" s="30">
        <v>28</v>
      </c>
      <c r="D20" s="30">
        <v>28</v>
      </c>
      <c r="E20" s="31">
        <v>23</v>
      </c>
      <c r="F20" s="30">
        <v>23</v>
      </c>
      <c r="G20" s="30">
        <v>28</v>
      </c>
      <c r="H20" s="30">
        <v>28</v>
      </c>
      <c r="I20" s="31">
        <v>23</v>
      </c>
      <c r="J20" s="30">
        <v>28</v>
      </c>
      <c r="K20" s="30">
        <v>28</v>
      </c>
      <c r="L20" s="30">
        <v>28</v>
      </c>
      <c r="M20" s="30">
        <v>28</v>
      </c>
    </row>
    <row r="21" spans="1:13" ht="30">
      <c r="A21" s="40" t="s">
        <v>79</v>
      </c>
      <c r="B21" s="36">
        <f t="shared" ref="B21" si="1">B20+10*LOG10(B18)</f>
        <v>23</v>
      </c>
      <c r="C21" s="36">
        <f t="shared" ref="C21:M21" si="2">C20+10*LOG10(C18)</f>
        <v>46.061799739838875</v>
      </c>
      <c r="D21" s="36">
        <f t="shared" si="2"/>
        <v>46.061799739838875</v>
      </c>
      <c r="E21" s="36">
        <f t="shared" si="2"/>
        <v>23</v>
      </c>
      <c r="F21" s="36">
        <f t="shared" si="2"/>
        <v>23</v>
      </c>
      <c r="G21" s="36">
        <f t="shared" si="2"/>
        <v>46.061799739838875</v>
      </c>
      <c r="H21" s="36">
        <f t="shared" si="2"/>
        <v>46.061799739838875</v>
      </c>
      <c r="I21" s="36">
        <f t="shared" si="2"/>
        <v>23</v>
      </c>
      <c r="J21" s="36">
        <f t="shared" si="2"/>
        <v>46.061799739838875</v>
      </c>
      <c r="K21" s="36">
        <f t="shared" si="2"/>
        <v>46.061799739838875</v>
      </c>
      <c r="L21" s="36">
        <f t="shared" si="2"/>
        <v>46.061799739838875</v>
      </c>
      <c r="M21" s="36">
        <f t="shared" si="2"/>
        <v>46.061799739838875</v>
      </c>
    </row>
    <row r="22" spans="1:13" ht="15">
      <c r="A22" s="16" t="s">
        <v>12</v>
      </c>
      <c r="B22" s="30">
        <v>0</v>
      </c>
      <c r="C22" s="30">
        <v>8</v>
      </c>
      <c r="D22" s="30">
        <v>8</v>
      </c>
      <c r="E22" s="31">
        <v>0</v>
      </c>
      <c r="F22" s="30">
        <v>0</v>
      </c>
      <c r="G22" s="30">
        <v>8</v>
      </c>
      <c r="H22" s="30">
        <v>8</v>
      </c>
      <c r="I22" s="31">
        <v>0</v>
      </c>
      <c r="J22" s="30">
        <v>8</v>
      </c>
      <c r="K22" s="30">
        <v>8</v>
      </c>
      <c r="L22" s="30">
        <v>8</v>
      </c>
      <c r="M22" s="30">
        <v>8</v>
      </c>
    </row>
    <row r="23" spans="1:13" ht="30">
      <c r="A23" s="41" t="s">
        <v>13</v>
      </c>
      <c r="B23" s="36">
        <f t="shared" ref="B23" si="3">IF(B18&gt;=2, 10*LOG10(B18/2), 0)</f>
        <v>0</v>
      </c>
      <c r="C23" s="36">
        <f t="shared" ref="C23:M23" si="4">IF(C18&gt;=2, 10*LOG10(C18/2), 0)</f>
        <v>15.051499783199061</v>
      </c>
      <c r="D23" s="36">
        <f t="shared" si="4"/>
        <v>15.051499783199061</v>
      </c>
      <c r="E23" s="36">
        <f t="shared" si="4"/>
        <v>0</v>
      </c>
      <c r="F23" s="36">
        <f t="shared" si="4"/>
        <v>0</v>
      </c>
      <c r="G23" s="36">
        <f t="shared" si="4"/>
        <v>15.051499783199061</v>
      </c>
      <c r="H23" s="36">
        <f t="shared" si="4"/>
        <v>15.051499783199061</v>
      </c>
      <c r="I23" s="36">
        <f t="shared" si="4"/>
        <v>0</v>
      </c>
      <c r="J23" s="36">
        <f t="shared" si="4"/>
        <v>15.051499783199061</v>
      </c>
      <c r="K23" s="36">
        <f t="shared" si="4"/>
        <v>15.051499783199061</v>
      </c>
      <c r="L23" s="36">
        <f t="shared" si="4"/>
        <v>15.051499783199061</v>
      </c>
      <c r="M23" s="36">
        <f t="shared" si="4"/>
        <v>15.051499783199061</v>
      </c>
    </row>
    <row r="24" spans="1:13" ht="15">
      <c r="A24" s="16" t="s">
        <v>14</v>
      </c>
      <c r="B24" s="31">
        <v>0</v>
      </c>
      <c r="C24" s="30">
        <v>0</v>
      </c>
      <c r="D24" s="30">
        <v>0</v>
      </c>
      <c r="E24" s="31">
        <v>0</v>
      </c>
      <c r="F24" s="31">
        <v>0</v>
      </c>
      <c r="G24" s="30">
        <v>0</v>
      </c>
      <c r="H24" s="30">
        <v>0</v>
      </c>
      <c r="I24" s="31">
        <v>0</v>
      </c>
      <c r="J24" s="30">
        <v>0</v>
      </c>
      <c r="K24" s="30">
        <v>0</v>
      </c>
      <c r="L24" s="30">
        <v>0</v>
      </c>
      <c r="M24" s="30">
        <v>0</v>
      </c>
    </row>
    <row r="25" spans="1:13" ht="15">
      <c r="A25" s="16" t="s">
        <v>15</v>
      </c>
      <c r="B25" s="31">
        <v>0</v>
      </c>
      <c r="C25" s="30">
        <v>0</v>
      </c>
      <c r="D25" s="30">
        <v>0</v>
      </c>
      <c r="E25" s="31">
        <v>0</v>
      </c>
      <c r="F25" s="31">
        <v>0</v>
      </c>
      <c r="G25" s="30">
        <v>0</v>
      </c>
      <c r="H25" s="30">
        <v>0</v>
      </c>
      <c r="I25" s="31">
        <v>0</v>
      </c>
      <c r="J25" s="30">
        <v>0</v>
      </c>
      <c r="K25" s="30">
        <v>0</v>
      </c>
      <c r="L25" s="30">
        <v>0</v>
      </c>
      <c r="M25" s="30">
        <v>0</v>
      </c>
    </row>
    <row r="26" spans="1:13" ht="30">
      <c r="A26" s="16" t="s">
        <v>16</v>
      </c>
      <c r="B26" s="31">
        <v>1</v>
      </c>
      <c r="C26" s="30">
        <v>3</v>
      </c>
      <c r="D26" s="30">
        <v>3</v>
      </c>
      <c r="E26" s="31">
        <v>1</v>
      </c>
      <c r="F26" s="31">
        <v>1</v>
      </c>
      <c r="G26" s="30">
        <v>3</v>
      </c>
      <c r="H26" s="30">
        <v>3</v>
      </c>
      <c r="I26" s="31">
        <v>1</v>
      </c>
      <c r="J26" s="30">
        <v>3</v>
      </c>
      <c r="K26" s="30">
        <v>3</v>
      </c>
      <c r="L26" s="30">
        <v>3</v>
      </c>
      <c r="M26" s="30">
        <v>3</v>
      </c>
    </row>
    <row r="27" spans="1:13" ht="15">
      <c r="A27" s="21" t="s">
        <v>17</v>
      </c>
      <c r="B27" s="66">
        <f t="shared" ref="B27" si="5">B21+B22+B23+B24-B26</f>
        <v>22</v>
      </c>
      <c r="C27" s="66">
        <f t="shared" ref="C27:M27" si="6">C21+C22+C23+C24-C26</f>
        <v>66.113299523037938</v>
      </c>
      <c r="D27" s="66">
        <f t="shared" si="6"/>
        <v>66.113299523037938</v>
      </c>
      <c r="E27" s="66">
        <f t="shared" si="6"/>
        <v>22</v>
      </c>
      <c r="F27" s="66">
        <f t="shared" si="6"/>
        <v>22</v>
      </c>
      <c r="G27" s="66">
        <f t="shared" si="6"/>
        <v>66.113299523037938</v>
      </c>
      <c r="H27" s="66">
        <f t="shared" si="6"/>
        <v>66.113299523037938</v>
      </c>
      <c r="I27" s="66">
        <f t="shared" si="6"/>
        <v>22</v>
      </c>
      <c r="J27" s="66">
        <f t="shared" si="6"/>
        <v>66.113299523037938</v>
      </c>
      <c r="K27" s="66">
        <f t="shared" si="6"/>
        <v>66.113299523037938</v>
      </c>
      <c r="L27" s="66">
        <f t="shared" si="6"/>
        <v>66.113299523037938</v>
      </c>
      <c r="M27" s="66">
        <f t="shared" si="6"/>
        <v>66.113299523037938</v>
      </c>
    </row>
    <row r="28" spans="1:13" ht="15">
      <c r="A28" s="21" t="s">
        <v>18</v>
      </c>
      <c r="B28" s="66">
        <f t="shared" ref="B28" si="7">B21+B22+B23-B25-B26</f>
        <v>22</v>
      </c>
      <c r="C28" s="66">
        <f t="shared" ref="C28:M28" si="8">C21+C22+C23-C25-C26</f>
        <v>66.113299523037938</v>
      </c>
      <c r="D28" s="66">
        <f t="shared" si="8"/>
        <v>66.113299523037938</v>
      </c>
      <c r="E28" s="66">
        <f t="shared" si="8"/>
        <v>22</v>
      </c>
      <c r="F28" s="66">
        <f t="shared" si="8"/>
        <v>22</v>
      </c>
      <c r="G28" s="66">
        <f t="shared" si="8"/>
        <v>66.113299523037938</v>
      </c>
      <c r="H28" s="66">
        <f t="shared" si="8"/>
        <v>66.113299523037938</v>
      </c>
      <c r="I28" s="66">
        <f t="shared" si="8"/>
        <v>22</v>
      </c>
      <c r="J28" s="66">
        <f t="shared" si="8"/>
        <v>66.113299523037938</v>
      </c>
      <c r="K28" s="66">
        <f t="shared" si="8"/>
        <v>66.113299523037938</v>
      </c>
      <c r="L28" s="66">
        <f t="shared" si="8"/>
        <v>66.113299523037938</v>
      </c>
      <c r="M28" s="66">
        <f t="shared" si="8"/>
        <v>66.113299523037938</v>
      </c>
    </row>
    <row r="29" spans="1:13">
      <c r="A29" s="15" t="s">
        <v>19</v>
      </c>
      <c r="B29" s="33"/>
      <c r="C29" s="33"/>
      <c r="D29" s="33"/>
      <c r="E29" s="33"/>
      <c r="F29" s="33"/>
      <c r="G29" s="33"/>
      <c r="H29" s="33"/>
      <c r="I29" s="33"/>
      <c r="J29" s="33"/>
      <c r="K29" s="33"/>
      <c r="L29" s="33"/>
      <c r="M29" s="33"/>
    </row>
    <row r="30" spans="1:13" ht="30">
      <c r="A30" s="16" t="s">
        <v>77</v>
      </c>
      <c r="B30" s="30">
        <v>64</v>
      </c>
      <c r="C30" s="30">
        <v>2</v>
      </c>
      <c r="D30" s="30">
        <v>2</v>
      </c>
      <c r="E30" s="31">
        <v>64</v>
      </c>
      <c r="F30" s="30">
        <v>64</v>
      </c>
      <c r="G30" s="30">
        <v>2</v>
      </c>
      <c r="H30" s="30">
        <v>2</v>
      </c>
      <c r="I30" s="31">
        <v>64</v>
      </c>
      <c r="J30" s="30">
        <v>2</v>
      </c>
      <c r="K30" s="30">
        <v>2</v>
      </c>
      <c r="L30" s="30">
        <v>2</v>
      </c>
      <c r="M30" s="30">
        <v>2</v>
      </c>
    </row>
    <row r="31" spans="1:13" ht="15">
      <c r="A31" s="16" t="s">
        <v>147</v>
      </c>
      <c r="B31" s="30">
        <v>2</v>
      </c>
      <c r="C31" s="30">
        <v>2</v>
      </c>
      <c r="D31" s="30">
        <v>2</v>
      </c>
      <c r="E31" s="31">
        <v>2</v>
      </c>
      <c r="F31" s="30">
        <v>2</v>
      </c>
      <c r="G31" s="30">
        <v>2</v>
      </c>
      <c r="H31" s="30">
        <v>2</v>
      </c>
      <c r="I31" s="31">
        <v>2</v>
      </c>
      <c r="J31" s="30">
        <v>2</v>
      </c>
      <c r="K31" s="30">
        <v>2</v>
      </c>
      <c r="L31" s="30">
        <v>2</v>
      </c>
      <c r="M31" s="30">
        <v>2</v>
      </c>
    </row>
    <row r="32" spans="1:13" ht="15">
      <c r="A32" s="16" t="s">
        <v>20</v>
      </c>
      <c r="B32" s="30">
        <v>8</v>
      </c>
      <c r="C32" s="30">
        <v>0</v>
      </c>
      <c r="D32" s="30">
        <v>0</v>
      </c>
      <c r="E32" s="31">
        <v>8</v>
      </c>
      <c r="F32" s="30">
        <v>8</v>
      </c>
      <c r="G32" s="30">
        <v>0</v>
      </c>
      <c r="H32" s="30">
        <v>0</v>
      </c>
      <c r="I32" s="31">
        <v>8</v>
      </c>
      <c r="J32" s="30">
        <v>0</v>
      </c>
      <c r="K32" s="30">
        <v>0</v>
      </c>
      <c r="L32" s="30">
        <v>0</v>
      </c>
      <c r="M32" s="30">
        <v>0</v>
      </c>
    </row>
    <row r="33" spans="1:13" ht="28.5">
      <c r="A33" s="22" t="s">
        <v>143</v>
      </c>
      <c r="B33" s="36">
        <f t="shared" ref="B33" si="9">IF(B30&gt;=2, 10*LOG10(B30/2), 0)</f>
        <v>15.051499783199061</v>
      </c>
      <c r="C33" s="36">
        <f t="shared" ref="C33:M33" si="10">IF(C30&gt;=2, 10*LOG10(C30/2), 0)</f>
        <v>0</v>
      </c>
      <c r="D33" s="36">
        <f t="shared" si="10"/>
        <v>0</v>
      </c>
      <c r="E33" s="36">
        <f t="shared" si="10"/>
        <v>15.051499783199061</v>
      </c>
      <c r="F33" s="36">
        <f t="shared" si="10"/>
        <v>15.051499783199061</v>
      </c>
      <c r="G33" s="36">
        <f t="shared" si="10"/>
        <v>0</v>
      </c>
      <c r="H33" s="36">
        <f t="shared" si="10"/>
        <v>0</v>
      </c>
      <c r="I33" s="36">
        <f t="shared" si="10"/>
        <v>15.051499783199061</v>
      </c>
      <c r="J33" s="36">
        <f t="shared" si="10"/>
        <v>0</v>
      </c>
      <c r="K33" s="36">
        <f t="shared" si="10"/>
        <v>0</v>
      </c>
      <c r="L33" s="36">
        <f t="shared" si="10"/>
        <v>0</v>
      </c>
      <c r="M33" s="36">
        <f t="shared" si="10"/>
        <v>0</v>
      </c>
    </row>
    <row r="34" spans="1:13" ht="30">
      <c r="A34" s="16" t="s">
        <v>21</v>
      </c>
      <c r="B34" s="31">
        <v>3</v>
      </c>
      <c r="C34" s="30">
        <v>1</v>
      </c>
      <c r="D34" s="30">
        <v>1</v>
      </c>
      <c r="E34" s="52">
        <v>3</v>
      </c>
      <c r="F34" s="31">
        <v>3</v>
      </c>
      <c r="G34" s="30">
        <v>1</v>
      </c>
      <c r="H34" s="30">
        <v>1</v>
      </c>
      <c r="I34" s="52">
        <v>3</v>
      </c>
      <c r="J34" s="30">
        <v>1</v>
      </c>
      <c r="K34" s="30">
        <v>1</v>
      </c>
      <c r="L34" s="30">
        <v>1</v>
      </c>
      <c r="M34" s="30">
        <v>1</v>
      </c>
    </row>
    <row r="35" spans="1:13" ht="15">
      <c r="A35" s="16" t="s">
        <v>22</v>
      </c>
      <c r="B35" s="31">
        <v>5</v>
      </c>
      <c r="C35" s="30">
        <v>7</v>
      </c>
      <c r="D35" s="30">
        <v>7</v>
      </c>
      <c r="E35" s="31">
        <v>5</v>
      </c>
      <c r="F35" s="31">
        <v>5</v>
      </c>
      <c r="G35" s="30">
        <v>7</v>
      </c>
      <c r="H35" s="30">
        <v>7</v>
      </c>
      <c r="I35" s="31">
        <v>5</v>
      </c>
      <c r="J35" s="30">
        <v>7</v>
      </c>
      <c r="K35" s="30">
        <v>7</v>
      </c>
      <c r="L35" s="30">
        <v>7</v>
      </c>
      <c r="M35" s="30">
        <v>7</v>
      </c>
    </row>
    <row r="36" spans="1:13" ht="15">
      <c r="A36" s="16" t="s">
        <v>23</v>
      </c>
      <c r="B36" s="30">
        <v>-174</v>
      </c>
      <c r="C36" s="30">
        <v>-174</v>
      </c>
      <c r="D36" s="30">
        <v>-174</v>
      </c>
      <c r="E36" s="31">
        <v>-174</v>
      </c>
      <c r="F36" s="30">
        <v>-174</v>
      </c>
      <c r="G36" s="30">
        <v>-174</v>
      </c>
      <c r="H36" s="30">
        <v>-174</v>
      </c>
      <c r="I36" s="31">
        <v>-174</v>
      </c>
      <c r="J36" s="30">
        <v>-174</v>
      </c>
      <c r="K36" s="30">
        <v>-174</v>
      </c>
      <c r="L36" s="30">
        <v>-174</v>
      </c>
      <c r="M36" s="30">
        <v>-174</v>
      </c>
    </row>
    <row r="37" spans="1:13" ht="15">
      <c r="A37" s="16" t="s">
        <v>204</v>
      </c>
      <c r="B37" s="31" t="s">
        <v>170</v>
      </c>
      <c r="C37" s="30">
        <v>-169.3</v>
      </c>
      <c r="D37" s="30" t="s">
        <v>50</v>
      </c>
      <c r="E37" s="31">
        <v>-161.69999999999999</v>
      </c>
      <c r="F37" s="31" t="s">
        <v>175</v>
      </c>
      <c r="G37" s="30">
        <v>-169.3</v>
      </c>
      <c r="H37" s="30" t="s">
        <v>50</v>
      </c>
      <c r="I37" s="31">
        <v>-161.69999999999999</v>
      </c>
      <c r="J37" s="30">
        <v>-169.3</v>
      </c>
      <c r="K37" s="30" t="s">
        <v>163</v>
      </c>
      <c r="L37" s="30">
        <v>-169.3</v>
      </c>
      <c r="M37" s="30" t="s">
        <v>50</v>
      </c>
    </row>
    <row r="38" spans="1:13" ht="15">
      <c r="A38" s="16" t="s">
        <v>24</v>
      </c>
      <c r="B38" s="31">
        <v>-165.7</v>
      </c>
      <c r="C38" s="30" t="s">
        <v>50</v>
      </c>
      <c r="D38" s="30">
        <v>-169.3</v>
      </c>
      <c r="E38" s="31" t="s">
        <v>175</v>
      </c>
      <c r="F38" s="31">
        <v>-165.7</v>
      </c>
      <c r="G38" s="30" t="s">
        <v>50</v>
      </c>
      <c r="H38" s="30">
        <v>-169.3</v>
      </c>
      <c r="I38" s="31" t="s">
        <v>177</v>
      </c>
      <c r="J38" s="30" t="s">
        <v>50</v>
      </c>
      <c r="K38" s="30">
        <v>-169.3</v>
      </c>
      <c r="L38" s="30" t="s">
        <v>164</v>
      </c>
      <c r="M38" s="30">
        <v>-169.3</v>
      </c>
    </row>
    <row r="39" spans="1:13" ht="30">
      <c r="A39" s="21" t="s">
        <v>205</v>
      </c>
      <c r="B39" s="66" t="s">
        <v>170</v>
      </c>
      <c r="C39" s="66">
        <f t="shared" ref="C39" si="11">10*LOG10(10^((C35+C36)/10)+10^(C37/10))</f>
        <v>-164.98918835931039</v>
      </c>
      <c r="D39" s="66" t="s">
        <v>50</v>
      </c>
      <c r="E39" s="66">
        <f t="shared" ref="E39" si="12">10*LOG10(10^((E35+E36)/10)+10^(E37/10))</f>
        <v>-160.9583889004532</v>
      </c>
      <c r="F39" s="66" t="s">
        <v>175</v>
      </c>
      <c r="G39" s="66">
        <f t="shared" ref="G39:J39" si="13">10*LOG10(10^((G35+G36)/10)+10^(G37/10))</f>
        <v>-164.98918835931039</v>
      </c>
      <c r="H39" s="66" t="s">
        <v>50</v>
      </c>
      <c r="I39" s="66">
        <f t="shared" ref="I39" si="14">10*LOG10(10^((I35+I36)/10)+10^(I37/10))</f>
        <v>-160.9583889004532</v>
      </c>
      <c r="J39" s="66">
        <f t="shared" si="13"/>
        <v>-164.98918835931039</v>
      </c>
      <c r="K39" s="66" t="s">
        <v>50</v>
      </c>
      <c r="L39" s="66">
        <f t="shared" ref="L39" si="15">10*LOG10(10^((L35+L36)/10)+10^(L37/10))</f>
        <v>-164.98918835931039</v>
      </c>
      <c r="M39" s="66" t="s">
        <v>163</v>
      </c>
    </row>
    <row r="40" spans="1:13" ht="30">
      <c r="A40" s="21" t="s">
        <v>206</v>
      </c>
      <c r="B40" s="66">
        <f t="shared" ref="B40" si="16">10*LOG10(10^((B35+B36)/10)+10^(B38/10))</f>
        <v>-164.03352307536667</v>
      </c>
      <c r="C40" s="66" t="s">
        <v>50</v>
      </c>
      <c r="D40" s="66">
        <f t="shared" ref="D40:H40" si="17">10*LOG10(10^((D35+D36)/10)+10^(D38/10))</f>
        <v>-164.98918835931039</v>
      </c>
      <c r="E40" s="66" t="s">
        <v>175</v>
      </c>
      <c r="F40" s="66">
        <f t="shared" ref="F40" si="18">10*LOG10(10^((F35+F36)/10)+10^(F38/10))</f>
        <v>-164.03352307536667</v>
      </c>
      <c r="G40" s="66" t="s">
        <v>50</v>
      </c>
      <c r="H40" s="66">
        <f t="shared" si="17"/>
        <v>-164.98918835931039</v>
      </c>
      <c r="I40" s="66" t="s">
        <v>177</v>
      </c>
      <c r="J40" s="66" t="s">
        <v>164</v>
      </c>
      <c r="K40" s="66">
        <f t="shared" ref="K40" si="19">10*LOG10(10^((K35+K36)/10)+10^(K38/10))</f>
        <v>-164.98918835931039</v>
      </c>
      <c r="L40" s="66" t="s">
        <v>164</v>
      </c>
      <c r="M40" s="66">
        <f t="shared" ref="M40" si="20">10*LOG10(10^((M35+M36)/10)+10^(M38/10))</f>
        <v>-164.98918835931039</v>
      </c>
    </row>
    <row r="41" spans="1:13" ht="30">
      <c r="A41" s="16" t="s">
        <v>25</v>
      </c>
      <c r="B41" s="30" t="s">
        <v>170</v>
      </c>
      <c r="C41" s="30">
        <f>MaxN_RB!$F$7*12*30*1000</f>
        <v>18360000</v>
      </c>
      <c r="D41" s="30" t="s">
        <v>50</v>
      </c>
      <c r="E41" s="30">
        <f>1*12*30*1000</f>
        <v>360000</v>
      </c>
      <c r="F41" s="30" t="s">
        <v>172</v>
      </c>
      <c r="G41" s="30">
        <f>MaxN_RB!$F$7*12*30*1000</f>
        <v>18360000</v>
      </c>
      <c r="H41" s="30" t="s">
        <v>50</v>
      </c>
      <c r="I41" s="30">
        <f>1*12*30*1000</f>
        <v>360000</v>
      </c>
      <c r="J41" s="30">
        <f>MaxN_RB!$F$7*12*30*1000</f>
        <v>18360000</v>
      </c>
      <c r="K41" s="30" t="s">
        <v>164</v>
      </c>
      <c r="L41" s="30">
        <f>MaxN_RB!$F$7*12*30*1000</f>
        <v>18360000</v>
      </c>
      <c r="M41" s="30" t="s">
        <v>50</v>
      </c>
    </row>
    <row r="42" spans="1:13" ht="30">
      <c r="A42" s="16" t="s">
        <v>26</v>
      </c>
      <c r="B42" s="30">
        <f>16*12*30*1000</f>
        <v>5760000</v>
      </c>
      <c r="C42" s="30" t="s">
        <v>50</v>
      </c>
      <c r="D42" s="30">
        <f>MaxN_RB!$F$7*12*30*1000</f>
        <v>18360000</v>
      </c>
      <c r="E42" s="30" t="s">
        <v>172</v>
      </c>
      <c r="F42" s="30">
        <f>16*12*30*1000</f>
        <v>5760000</v>
      </c>
      <c r="G42" s="30" t="s">
        <v>50</v>
      </c>
      <c r="H42" s="30">
        <f>MaxN_RB!$F$7*12*30*1000</f>
        <v>18360000</v>
      </c>
      <c r="I42" s="30" t="s">
        <v>177</v>
      </c>
      <c r="J42" s="30" t="s">
        <v>164</v>
      </c>
      <c r="K42" s="30">
        <f>MaxN_RB!$F$7*12*30*1000</f>
        <v>18360000</v>
      </c>
      <c r="L42" s="30" t="s">
        <v>163</v>
      </c>
      <c r="M42" s="30">
        <f>MaxN_RB!$F$7*12*30*1000</f>
        <v>18360000</v>
      </c>
    </row>
    <row r="43" spans="1:13" ht="15">
      <c r="A43" s="21" t="s">
        <v>27</v>
      </c>
      <c r="B43" s="66" t="s">
        <v>171</v>
      </c>
      <c r="C43" s="66">
        <f t="shared" ref="C43" si="21">C39+10*LOG10(C41)</f>
        <v>-92.350461590658156</v>
      </c>
      <c r="D43" s="66" t="s">
        <v>50</v>
      </c>
      <c r="E43" s="66">
        <f t="shared" ref="E43" si="22">E39+10*LOG10(E41)</f>
        <v>-105.39536389278032</v>
      </c>
      <c r="F43" s="66" t="s">
        <v>175</v>
      </c>
      <c r="G43" s="66">
        <f t="shared" ref="G43:J43" si="23">G39+10*LOG10(G41)</f>
        <v>-92.350461590658156</v>
      </c>
      <c r="H43" s="66" t="s">
        <v>50</v>
      </c>
      <c r="I43" s="66">
        <f t="shared" ref="I43" si="24">I39+10*LOG10(I41)</f>
        <v>-105.39536389278032</v>
      </c>
      <c r="J43" s="66">
        <f t="shared" si="23"/>
        <v>-92.350461590658156</v>
      </c>
      <c r="K43" s="66" t="s">
        <v>164</v>
      </c>
      <c r="L43" s="66">
        <f t="shared" ref="L43" si="25">L39+10*LOG10(L41)</f>
        <v>-92.350461590658156</v>
      </c>
      <c r="M43" s="66" t="s">
        <v>163</v>
      </c>
    </row>
    <row r="44" spans="1:13" ht="15">
      <c r="A44" s="21" t="s">
        <v>28</v>
      </c>
      <c r="B44" s="66">
        <f t="shared" ref="B44" si="26">B40+10*LOG10(B42)</f>
        <v>-96.42929824113456</v>
      </c>
      <c r="C44" s="66" t="s">
        <v>50</v>
      </c>
      <c r="D44" s="66">
        <f>D40+10*LOG10(D42)</f>
        <v>-92.350461590658156</v>
      </c>
      <c r="E44" s="66" t="s">
        <v>175</v>
      </c>
      <c r="F44" s="66">
        <f t="shared" ref="F44" si="27">F40+10*LOG10(F42)</f>
        <v>-96.42929824113456</v>
      </c>
      <c r="G44" s="66" t="s">
        <v>50</v>
      </c>
      <c r="H44" s="66">
        <f t="shared" ref="H44" si="28">H40+10*LOG10(H42)</f>
        <v>-92.350461590658156</v>
      </c>
      <c r="I44" s="66" t="s">
        <v>177</v>
      </c>
      <c r="J44" s="66" t="s">
        <v>164</v>
      </c>
      <c r="K44" s="66">
        <f>K40+10*LOG10(K42)</f>
        <v>-92.350461590658156</v>
      </c>
      <c r="L44" s="66" t="s">
        <v>164</v>
      </c>
      <c r="M44" s="66">
        <f t="shared" ref="M44" si="29">M40+10*LOG10(M42)</f>
        <v>-92.350461590658156</v>
      </c>
    </row>
    <row r="45" spans="1:13" ht="15">
      <c r="A45" s="16" t="s">
        <v>29</v>
      </c>
      <c r="B45" s="69" t="s">
        <v>171</v>
      </c>
      <c r="C45" s="86">
        <f>(-2.7-3.7)/2</f>
        <v>-3.2</v>
      </c>
      <c r="D45" s="68" t="s">
        <v>50</v>
      </c>
      <c r="E45" s="69">
        <v>4.2</v>
      </c>
      <c r="F45" s="70" t="s">
        <v>175</v>
      </c>
      <c r="G45" s="87">
        <f>(-2.7-3.8)/2</f>
        <v>-3.25</v>
      </c>
      <c r="H45" s="68" t="s">
        <v>50</v>
      </c>
      <c r="I45" s="70">
        <v>4.2</v>
      </c>
      <c r="J45" s="69">
        <v>-8.8000000000000007</v>
      </c>
      <c r="K45" s="68" t="s">
        <v>164</v>
      </c>
      <c r="L45" s="69">
        <v>-9</v>
      </c>
      <c r="M45" s="68" t="s">
        <v>164</v>
      </c>
    </row>
    <row r="46" spans="1:13" ht="15">
      <c r="A46" s="16" t="s">
        <v>30</v>
      </c>
      <c r="B46" s="69">
        <v>-2</v>
      </c>
      <c r="C46" s="68" t="s">
        <v>50</v>
      </c>
      <c r="D46" s="86">
        <f>(-2.5-2.7)/2</f>
        <v>-2.6</v>
      </c>
      <c r="E46" s="68" t="s">
        <v>175</v>
      </c>
      <c r="F46" s="70">
        <v>-1.9</v>
      </c>
      <c r="G46" s="68" t="s">
        <v>50</v>
      </c>
      <c r="H46" s="87">
        <f>(-2.4-2.7)/2</f>
        <v>-2.5499999999999998</v>
      </c>
      <c r="I46" s="68" t="s">
        <v>177</v>
      </c>
      <c r="J46" s="68" t="s">
        <v>164</v>
      </c>
      <c r="K46" s="69">
        <v>-6.5</v>
      </c>
      <c r="L46" s="68" t="s">
        <v>164</v>
      </c>
      <c r="M46" s="69">
        <v>-6.7</v>
      </c>
    </row>
    <row r="47" spans="1:13" ht="15">
      <c r="A47" s="16" t="s">
        <v>31</v>
      </c>
      <c r="B47" s="52">
        <v>2</v>
      </c>
      <c r="C47" s="30">
        <v>2</v>
      </c>
      <c r="D47" s="30">
        <v>2</v>
      </c>
      <c r="E47" s="30">
        <v>2</v>
      </c>
      <c r="F47" s="52">
        <v>2</v>
      </c>
      <c r="G47" s="30">
        <v>2</v>
      </c>
      <c r="H47" s="30">
        <v>2</v>
      </c>
      <c r="I47" s="30">
        <v>2</v>
      </c>
      <c r="J47" s="30">
        <v>2</v>
      </c>
      <c r="K47" s="30">
        <v>2</v>
      </c>
      <c r="L47" s="30">
        <v>2</v>
      </c>
      <c r="M47" s="30">
        <v>2</v>
      </c>
    </row>
    <row r="48" spans="1:13" ht="15">
      <c r="A48" s="16" t="s">
        <v>32</v>
      </c>
      <c r="B48" s="52" t="s">
        <v>171</v>
      </c>
      <c r="C48" s="30">
        <v>0</v>
      </c>
      <c r="D48" s="30" t="s">
        <v>50</v>
      </c>
      <c r="E48" s="30">
        <v>0</v>
      </c>
      <c r="F48" s="52" t="s">
        <v>175</v>
      </c>
      <c r="G48" s="30">
        <v>0</v>
      </c>
      <c r="H48" s="30" t="s">
        <v>50</v>
      </c>
      <c r="I48" s="30">
        <v>0</v>
      </c>
      <c r="J48" s="30">
        <v>0</v>
      </c>
      <c r="K48" s="30" t="s">
        <v>164</v>
      </c>
      <c r="L48" s="30">
        <v>0</v>
      </c>
      <c r="M48" s="30" t="s">
        <v>164</v>
      </c>
    </row>
    <row r="49" spans="1:13" ht="15">
      <c r="A49" s="16" t="s">
        <v>33</v>
      </c>
      <c r="B49" s="52">
        <v>0.5</v>
      </c>
      <c r="C49" s="30" t="s">
        <v>50</v>
      </c>
      <c r="D49" s="30">
        <v>0.5</v>
      </c>
      <c r="E49" s="30" t="s">
        <v>175</v>
      </c>
      <c r="F49" s="52">
        <v>0.5</v>
      </c>
      <c r="G49" s="30" t="s">
        <v>50</v>
      </c>
      <c r="H49" s="30">
        <v>0.5</v>
      </c>
      <c r="I49" s="30" t="s">
        <v>177</v>
      </c>
      <c r="J49" s="30" t="s">
        <v>164</v>
      </c>
      <c r="K49" s="30">
        <v>0.5</v>
      </c>
      <c r="L49" s="30" t="s">
        <v>164</v>
      </c>
      <c r="M49" s="30">
        <v>0.5</v>
      </c>
    </row>
    <row r="50" spans="1:13" ht="15">
      <c r="A50" s="21" t="s">
        <v>44</v>
      </c>
      <c r="B50" s="66" t="s">
        <v>171</v>
      </c>
      <c r="C50" s="66">
        <f t="shared" ref="C50" si="30">C43+C45+C47-C48</f>
        <v>-93.550461590658159</v>
      </c>
      <c r="D50" s="66" t="s">
        <v>50</v>
      </c>
      <c r="E50" s="66">
        <f t="shared" ref="E50" si="31">E43+E45+E47-E48</f>
        <v>-99.195363892780321</v>
      </c>
      <c r="F50" s="66" t="s">
        <v>175</v>
      </c>
      <c r="G50" s="66">
        <f t="shared" ref="G50:J50" si="32">G43+G45+G47-G48</f>
        <v>-93.600461590658156</v>
      </c>
      <c r="H50" s="66" t="s">
        <v>50</v>
      </c>
      <c r="I50" s="66">
        <f t="shared" ref="I50" si="33">I43+I45+I47-I48</f>
        <v>-99.195363892780321</v>
      </c>
      <c r="J50" s="66">
        <f t="shared" si="32"/>
        <v>-99.150461590658153</v>
      </c>
      <c r="K50" s="66" t="s">
        <v>164</v>
      </c>
      <c r="L50" s="66">
        <f t="shared" ref="L50" si="34">L43+L45+L47-L48</f>
        <v>-99.350461590658156</v>
      </c>
      <c r="M50" s="66" t="s">
        <v>164</v>
      </c>
    </row>
    <row r="51" spans="1:13" ht="15">
      <c r="A51" s="21" t="s">
        <v>45</v>
      </c>
      <c r="B51" s="66">
        <f t="shared" ref="B51" si="35">B44+B46+B47-B49</f>
        <v>-96.92929824113456</v>
      </c>
      <c r="C51" s="66" t="s">
        <v>50</v>
      </c>
      <c r="D51" s="66">
        <f t="shared" ref="D51:H51" si="36">D44+D46+D47-D49</f>
        <v>-93.450461590658151</v>
      </c>
      <c r="E51" s="66" t="s">
        <v>175</v>
      </c>
      <c r="F51" s="66">
        <f t="shared" ref="F51" si="37">F44+F46+F47-F49</f>
        <v>-96.829298241134566</v>
      </c>
      <c r="G51" s="66" t="s">
        <v>50</v>
      </c>
      <c r="H51" s="66">
        <f t="shared" si="36"/>
        <v>-93.400461590658153</v>
      </c>
      <c r="I51" s="66" t="s">
        <v>177</v>
      </c>
      <c r="J51" s="66" t="s">
        <v>164</v>
      </c>
      <c r="K51" s="66">
        <f t="shared" ref="K51" si="38">K44+K46+K47-K49</f>
        <v>-97.350461590658156</v>
      </c>
      <c r="L51" s="66" t="s">
        <v>164</v>
      </c>
      <c r="M51" s="66">
        <f t="shared" ref="M51" si="39">M44+M46+M47-M49</f>
        <v>-97.550461590658159</v>
      </c>
    </row>
    <row r="52" spans="1:13" ht="15">
      <c r="A52" s="23" t="s">
        <v>89</v>
      </c>
      <c r="B52" s="66" t="s">
        <v>171</v>
      </c>
      <c r="C52" s="66">
        <f t="shared" ref="C52:J52" si="40">C27+C32+C33-C50</f>
        <v>159.6637611136961</v>
      </c>
      <c r="D52" s="66" t="s">
        <v>50</v>
      </c>
      <c r="E52" s="66">
        <f t="shared" ref="E52" si="41">E27+E32+E33-E50</f>
        <v>144.2468636759794</v>
      </c>
      <c r="F52" s="66" t="s">
        <v>175</v>
      </c>
      <c r="G52" s="66">
        <f t="shared" si="40"/>
        <v>159.71376111369608</v>
      </c>
      <c r="H52" s="66" t="s">
        <v>50</v>
      </c>
      <c r="I52" s="66">
        <f t="shared" ref="I52" si="42">I27+I32+I33-I50</f>
        <v>144.2468636759794</v>
      </c>
      <c r="J52" s="66">
        <f t="shared" si="40"/>
        <v>165.26376111369609</v>
      </c>
      <c r="K52" s="66" t="s">
        <v>164</v>
      </c>
      <c r="L52" s="66">
        <f t="shared" ref="L52" si="43">L27+L32+L33-L50</f>
        <v>165.46376111369608</v>
      </c>
      <c r="M52" s="66" t="s">
        <v>164</v>
      </c>
    </row>
    <row r="53" spans="1:13" ht="15">
      <c r="A53" s="23" t="s">
        <v>90</v>
      </c>
      <c r="B53" s="66">
        <f t="shared" ref="B53" si="44">B28+B32+B33-B51</f>
        <v>141.98079802433364</v>
      </c>
      <c r="C53" s="66" t="s">
        <v>50</v>
      </c>
      <c r="D53" s="66">
        <f t="shared" ref="D53:H53" si="45">D28+D32+D33-D51</f>
        <v>159.5637611136961</v>
      </c>
      <c r="E53" s="66" t="s">
        <v>175</v>
      </c>
      <c r="F53" s="66">
        <f t="shared" ref="F53" si="46">F28+F32+F33-F51</f>
        <v>141.88079802433361</v>
      </c>
      <c r="G53" s="66" t="s">
        <v>50</v>
      </c>
      <c r="H53" s="66">
        <f t="shared" si="45"/>
        <v>159.51376111369609</v>
      </c>
      <c r="I53" s="66" t="s">
        <v>177</v>
      </c>
      <c r="J53" s="66" t="s">
        <v>164</v>
      </c>
      <c r="K53" s="66">
        <f t="shared" ref="K53" si="47">K28+K32+K33-K51</f>
        <v>163.46376111369608</v>
      </c>
      <c r="L53" s="66" t="s">
        <v>164</v>
      </c>
      <c r="M53" s="66">
        <f t="shared" ref="M53" si="48">M28+M32+M33-M51</f>
        <v>163.6637611136961</v>
      </c>
    </row>
    <row r="54" spans="1:13">
      <c r="A54" s="15" t="s">
        <v>34</v>
      </c>
      <c r="B54" s="33"/>
      <c r="C54" s="33"/>
      <c r="D54" s="33"/>
      <c r="E54" s="33"/>
      <c r="F54" s="33"/>
      <c r="G54" s="33"/>
      <c r="H54" s="33"/>
      <c r="I54" s="33"/>
      <c r="J54" s="33"/>
      <c r="K54" s="33"/>
      <c r="L54" s="33"/>
      <c r="M54" s="33"/>
    </row>
    <row r="55" spans="1:13" ht="15">
      <c r="A55" s="16" t="s">
        <v>35</v>
      </c>
      <c r="B55" s="31">
        <v>6</v>
      </c>
      <c r="C55" s="67">
        <v>6</v>
      </c>
      <c r="D55" s="68">
        <v>6</v>
      </c>
      <c r="E55" s="31">
        <v>6</v>
      </c>
      <c r="F55" s="90">
        <v>7</v>
      </c>
      <c r="G55" s="68">
        <v>7</v>
      </c>
      <c r="H55" s="68">
        <v>7</v>
      </c>
      <c r="I55" s="90">
        <v>7</v>
      </c>
      <c r="J55" s="68">
        <v>4</v>
      </c>
      <c r="K55" s="68">
        <v>4</v>
      </c>
      <c r="L55" s="68">
        <v>7</v>
      </c>
      <c r="M55" s="68">
        <v>7</v>
      </c>
    </row>
    <row r="56" spans="1:13" ht="18">
      <c r="A56" s="63" t="s">
        <v>93</v>
      </c>
      <c r="B56" s="31"/>
      <c r="C56" s="67"/>
      <c r="D56" s="68"/>
      <c r="E56" s="31"/>
      <c r="F56" s="31"/>
      <c r="G56" s="67"/>
      <c r="H56" s="67"/>
      <c r="I56" s="31"/>
      <c r="J56" s="67"/>
      <c r="K56" s="68"/>
      <c r="L56" s="67"/>
      <c r="M56" s="67"/>
    </row>
    <row r="57" spans="1:13" ht="30">
      <c r="A57" s="16" t="s">
        <v>36</v>
      </c>
      <c r="B57" s="30" t="s">
        <v>171</v>
      </c>
      <c r="C57" s="88">
        <f>(5.54+5.6)/2</f>
        <v>5.57</v>
      </c>
      <c r="D57" s="88" t="s">
        <v>169</v>
      </c>
      <c r="E57" s="90">
        <f>(5.54+5.6)/2</f>
        <v>5.57</v>
      </c>
      <c r="F57" s="90" t="s">
        <v>175</v>
      </c>
      <c r="G57" s="88">
        <f>(8.22+6.88)/2</f>
        <v>7.5500000000000007</v>
      </c>
      <c r="H57" s="93" t="s">
        <v>50</v>
      </c>
      <c r="I57" s="90">
        <f>(8.22+6.88)/2</f>
        <v>7.5500000000000007</v>
      </c>
      <c r="J57" s="68">
        <v>2.96</v>
      </c>
      <c r="K57" s="68" t="s">
        <v>164</v>
      </c>
      <c r="L57" s="68">
        <v>6.88</v>
      </c>
      <c r="M57" s="79" t="s">
        <v>50</v>
      </c>
    </row>
    <row r="58" spans="1:13" ht="30">
      <c r="A58" s="16" t="s">
        <v>37</v>
      </c>
      <c r="B58" s="90">
        <f>(2.98+3.03)/2</f>
        <v>3.0049999999999999</v>
      </c>
      <c r="C58" s="88" t="s">
        <v>169</v>
      </c>
      <c r="D58" s="88">
        <f>(2.98+3.03)/2</f>
        <v>3.0049999999999999</v>
      </c>
      <c r="E58" s="95" t="s">
        <v>175</v>
      </c>
      <c r="F58" s="90">
        <f>(4.98+3.98)/2</f>
        <v>4.4800000000000004</v>
      </c>
      <c r="G58" s="93" t="s">
        <v>50</v>
      </c>
      <c r="H58" s="88">
        <f>(4.98+3.98)/2</f>
        <v>4.4800000000000004</v>
      </c>
      <c r="I58" s="31" t="s">
        <v>177</v>
      </c>
      <c r="J58" s="68" t="s">
        <v>164</v>
      </c>
      <c r="K58" s="68">
        <v>1.1200000000000001</v>
      </c>
      <c r="L58" s="79" t="s">
        <v>50</v>
      </c>
      <c r="M58" s="68">
        <v>3.98</v>
      </c>
    </row>
    <row r="59" spans="1:13" ht="15">
      <c r="A59" s="16" t="s">
        <v>38</v>
      </c>
      <c r="B59" s="31">
        <v>0</v>
      </c>
      <c r="C59" s="67">
        <v>0</v>
      </c>
      <c r="D59" s="68">
        <v>0</v>
      </c>
      <c r="E59" s="31">
        <v>0</v>
      </c>
      <c r="F59" s="31">
        <v>0</v>
      </c>
      <c r="G59" s="67">
        <v>0</v>
      </c>
      <c r="H59" s="67">
        <v>0</v>
      </c>
      <c r="I59" s="31">
        <v>0</v>
      </c>
      <c r="J59" s="67">
        <v>0</v>
      </c>
      <c r="K59" s="68">
        <v>0</v>
      </c>
      <c r="L59" s="67">
        <v>0</v>
      </c>
      <c r="M59" s="67">
        <v>0</v>
      </c>
    </row>
    <row r="60" spans="1:13" ht="15">
      <c r="A60" s="16" t="s">
        <v>168</v>
      </c>
      <c r="B60" s="95">
        <v>0</v>
      </c>
      <c r="C60" s="68">
        <v>0</v>
      </c>
      <c r="D60" s="68">
        <v>0</v>
      </c>
      <c r="E60" s="95">
        <v>0</v>
      </c>
      <c r="F60" s="30">
        <f>20+0.5*12.5</f>
        <v>26.25</v>
      </c>
      <c r="G60" s="68">
        <f>20+0.5*12.5</f>
        <v>26.25</v>
      </c>
      <c r="H60" s="68">
        <f>20+0.5*12.5</f>
        <v>26.25</v>
      </c>
      <c r="I60" s="30">
        <f>20+0.5*12.5</f>
        <v>26.25</v>
      </c>
      <c r="J60" s="68">
        <v>0</v>
      </c>
      <c r="K60" s="68">
        <v>0</v>
      </c>
      <c r="L60" s="68">
        <f>20+0.5*12.5</f>
        <v>26.25</v>
      </c>
      <c r="M60" s="68">
        <f>20+0.5*12.5</f>
        <v>26.25</v>
      </c>
    </row>
    <row r="61" spans="1:13" ht="15">
      <c r="A61" s="16" t="s">
        <v>40</v>
      </c>
      <c r="B61" s="31">
        <v>0</v>
      </c>
      <c r="C61" s="67">
        <v>0</v>
      </c>
      <c r="D61" s="68">
        <v>0</v>
      </c>
      <c r="E61" s="31">
        <v>0</v>
      </c>
      <c r="F61" s="31">
        <v>0</v>
      </c>
      <c r="G61" s="67">
        <v>0</v>
      </c>
      <c r="H61" s="67">
        <v>0</v>
      </c>
      <c r="I61" s="31">
        <v>0</v>
      </c>
      <c r="J61" s="67">
        <v>0</v>
      </c>
      <c r="K61" s="68">
        <v>0</v>
      </c>
      <c r="L61" s="67">
        <v>0</v>
      </c>
      <c r="M61" s="67">
        <v>0</v>
      </c>
    </row>
    <row r="62" spans="1:13" ht="30">
      <c r="A62" s="21" t="s">
        <v>49</v>
      </c>
      <c r="B62" s="66" t="s">
        <v>171</v>
      </c>
      <c r="C62" s="66">
        <f t="shared" ref="C62" si="49">C52-C57+C59-C60+C61-C34</f>
        <v>153.0937611136961</v>
      </c>
      <c r="D62" s="66" t="s">
        <v>50</v>
      </c>
      <c r="E62" s="66">
        <f t="shared" ref="E62" si="50">E52-E57+E59-E60+E61-E34</f>
        <v>135.6768636759794</v>
      </c>
      <c r="F62" s="66" t="s">
        <v>175</v>
      </c>
      <c r="G62" s="66">
        <f t="shared" ref="G62:J62" si="51">G52-G57+G59-G60+G61-G34</f>
        <v>124.91376111369607</v>
      </c>
      <c r="H62" s="66" t="s">
        <v>50</v>
      </c>
      <c r="I62" s="66">
        <f t="shared" ref="I62" si="52">I52-I57+I59-I60+I61-I34</f>
        <v>107.44686367597939</v>
      </c>
      <c r="J62" s="66">
        <f t="shared" si="51"/>
        <v>161.30376111369608</v>
      </c>
      <c r="K62" s="66" t="s">
        <v>164</v>
      </c>
      <c r="L62" s="66">
        <f t="shared" ref="L62" si="53">L52-L57+L59-L60+L61-L34</f>
        <v>131.33376111369608</v>
      </c>
      <c r="M62" s="66" t="s">
        <v>164</v>
      </c>
    </row>
    <row r="63" spans="1:13" ht="30">
      <c r="A63" s="21" t="s">
        <v>46</v>
      </c>
      <c r="B63" s="66">
        <f t="shared" ref="B63" si="54">B53-B58+B59-B60+B61-B34</f>
        <v>135.97579802433364</v>
      </c>
      <c r="C63" s="66" t="s">
        <v>50</v>
      </c>
      <c r="D63" s="66">
        <f t="shared" ref="D63:H63" si="55">D53-D58+D59-D60+D61-D34</f>
        <v>155.55876111369611</v>
      </c>
      <c r="E63" s="66" t="s">
        <v>175</v>
      </c>
      <c r="F63" s="66">
        <f t="shared" ref="F63" si="56">F53-F58+F59-F60+F61-F34</f>
        <v>108.15079802433362</v>
      </c>
      <c r="G63" s="66" t="s">
        <v>50</v>
      </c>
      <c r="H63" s="66">
        <f t="shared" si="55"/>
        <v>127.7837611136961</v>
      </c>
      <c r="I63" s="66" t="s">
        <v>177</v>
      </c>
      <c r="J63" s="66" t="s">
        <v>164</v>
      </c>
      <c r="K63" s="66">
        <f t="shared" ref="K63" si="57">K53-K58+K59-K60+K61-K34</f>
        <v>161.34376111369608</v>
      </c>
      <c r="L63" s="66" t="s">
        <v>166</v>
      </c>
      <c r="M63" s="66">
        <f t="shared" ref="M63" si="58">M53-M58+M59-M60+M61-M34</f>
        <v>132.43376111369611</v>
      </c>
    </row>
    <row r="64" spans="1:13">
      <c r="A64" s="15" t="s">
        <v>41</v>
      </c>
      <c r="B64" s="33"/>
      <c r="C64" s="33"/>
      <c r="D64" s="33"/>
      <c r="E64" s="33"/>
      <c r="F64" s="33"/>
      <c r="G64" s="33"/>
      <c r="H64" s="33"/>
      <c r="I64" s="33"/>
      <c r="J64" s="33"/>
      <c r="K64" s="33"/>
      <c r="L64" s="33"/>
      <c r="M64" s="33"/>
    </row>
    <row r="65" spans="1:13" ht="30">
      <c r="A65" s="24" t="s">
        <v>42</v>
      </c>
      <c r="B65" s="31" t="s">
        <v>171</v>
      </c>
      <c r="C65" s="31">
        <f>10^((C62-161.04+7.1*LOG10(20)-7.5*LOG10(20)+(24.37-3.7*(20/C5)^2)*LOG10(C5)-20*LOG10(C4)+(3.2*(LOG10(17.625))^2-4.97)+0.6*(C6-1.5))/(43.42-3.1*LOG10(C5))+3)</f>
        <v>4462.0478464039606</v>
      </c>
      <c r="D65" s="31" t="s">
        <v>50</v>
      </c>
      <c r="E65" s="31">
        <f>10^((E62-161.04+7.1*LOG10(20)-7.5*LOG10(20)+(24.37-3.7*(20/E5)^2)*LOG10(E5)-20*LOG10(E4)+(3.2*(LOG10(17.625))^2-4.97)+0.6*(E6-1.5))/(43.42-3.1*LOG10(E5))+3)</f>
        <v>1599.3154195538218</v>
      </c>
      <c r="F65" s="31" t="s">
        <v>175</v>
      </c>
      <c r="G65" s="31">
        <f>10^((G62-161.04+7.1*LOG10(20)-7.5*LOG10(20)+(24.37-3.7*(20/G5)^2)*LOG10(G5)-20*LOG10(G4)+(3.2*(LOG10(17.625))^2-4.97)+0.6*(G6-1.5))/(43.42-3.1*LOG10(G5))+3)</f>
        <v>848.33440493116927</v>
      </c>
      <c r="H65" s="31" t="s">
        <v>50</v>
      </c>
      <c r="I65" s="31">
        <f>10^((I62-161.04+7.1*LOG10(20)-7.5*LOG10(20)+(24.37-3.7*(20/I5)^2)*LOG10(I5)-20*LOG10(I4)+(3.2*(LOG10(17.625))^2-4.97)+0.6*(I6-1.5))/(43.42-3.1*LOG10(I5))+3)</f>
        <v>303.17107543282026</v>
      </c>
      <c r="J65" s="31">
        <f>10^((J62-161.04+7.1*LOG10(20)-7.5*LOG10(20)+(24.37-3.7*(20/J5)^2)*LOG10(J5)-20*LOG10(J4)+(3.2*(LOG10(17.625))^2-4.97)+0.6*(J6-1.5))/(43.42-3.1*LOG10(J5))+3)</f>
        <v>7237.3867806566959</v>
      </c>
      <c r="K65" s="31" t="s">
        <v>164</v>
      </c>
      <c r="L65" s="31">
        <f>10^((L62-161.04+7.1*LOG10(20)-7.5*LOG10(20)+(24.37-3.7*(20/L5)^2)*LOG10(L5)-20*LOG10(L4)+(3.2*(LOG10(17.625))^2-4.97)+0.6*(L6-1.5))/(43.42-3.1*LOG10(L5))+3)</f>
        <v>1238.2793879749636</v>
      </c>
      <c r="M65" s="31" t="s">
        <v>164</v>
      </c>
    </row>
    <row r="66" spans="1:13" ht="30">
      <c r="A66" s="24" t="s">
        <v>43</v>
      </c>
      <c r="B66" s="31">
        <f>10^((B63-161.04+7.1*LOG10(20)-7.5*LOG10(20)+(24.37-3.7*(20/B5)^2)*LOG10(B5)-20*LOG10(B4)+(3.2*(LOG10(17.625))^2-4.97)+0.6*(B6-1.5))/(43.42-3.1*LOG10(B5))+3)</f>
        <v>1627.729247705721</v>
      </c>
      <c r="C66" s="31" t="s">
        <v>50</v>
      </c>
      <c r="D66" s="31">
        <f>10^((D63-161.04+7.1*LOG10(20)-7.5*LOG10(20)+(24.37-3.7*(20/D5)^2)*LOG10(D5)-20*LOG10(D4)+(3.2*(LOG10(17.625))^2-4.97)+0.6*(D6-1.5))/(43.42-3.1*LOG10(D5))+3)</f>
        <v>5159.4054678249195</v>
      </c>
      <c r="E66" s="31" t="s">
        <v>175</v>
      </c>
      <c r="F66" s="31">
        <f>10^((F63-161.04+7.1*LOG10(20)-7.5*LOG10(20)+(24.37-3.7*(20/F5)^2)*LOG10(F5)-20*LOG10(F4)+(3.2*(LOG10(17.625))^2-4.97)+0.6*(F6-1.5))/(43.42-3.1*LOG10(F5))+3)</f>
        <v>316.00755887931859</v>
      </c>
      <c r="G66" s="31" t="s">
        <v>50</v>
      </c>
      <c r="H66" s="31">
        <f>10^((H63-161.04+7.1*LOG10(20)-7.5*LOG10(20)+(24.37-3.7*(20/H5)^2)*LOG10(H5)-20*LOG10(H4)+(3.2*(LOG10(17.625))^2-4.97)+0.6*(H6-1.5))/(43.42-3.1*LOG10(H5))+3)</f>
        <v>1004.6023304149566</v>
      </c>
      <c r="I66" s="31" t="s">
        <v>177</v>
      </c>
      <c r="J66" s="31" t="s">
        <v>164</v>
      </c>
      <c r="K66" s="31">
        <f>10^((K63-161.04+7.1*LOG10(20)-7.5*LOG10(20)+(24.37-3.7*(20/K5)^2)*LOG10(K5)-20*LOG10(K4)+(3.2*(LOG10(17.625))^2-4.97)+0.6*(K6-1.5))/(43.42-3.1*LOG10(K5))+3)</f>
        <v>7254.4611131430793</v>
      </c>
      <c r="L66" s="31" t="s">
        <v>164</v>
      </c>
      <c r="M66" s="31">
        <f>10^((M63-161.04+7.1*LOG10(20)-7.5*LOG10(20)+(24.37-3.7*(20/M5)^2)*LOG10(M5)-20*LOG10(M4)+(3.2*(LOG10(17.625))^2-4.97)+0.6*(M6-1.5))/(43.42-3.1*LOG10(M5))+3)</f>
        <v>1321.1783096201045</v>
      </c>
    </row>
    <row r="67" spans="1:13" ht="18">
      <c r="A67" s="24" t="s">
        <v>94</v>
      </c>
      <c r="B67" s="29" t="s">
        <v>171</v>
      </c>
      <c r="C67" s="29">
        <f>PI()*(C65)^2</f>
        <v>62548704.415992774</v>
      </c>
      <c r="D67" s="29" t="s">
        <v>50</v>
      </c>
      <c r="E67" s="29">
        <f>PI()*(E65)^2</f>
        <v>8035596.5122168697</v>
      </c>
      <c r="F67" s="29" t="s">
        <v>172</v>
      </c>
      <c r="G67" s="29">
        <f>PI()*(G65)^2</f>
        <v>2260913.9515521871</v>
      </c>
      <c r="H67" s="29" t="s">
        <v>50</v>
      </c>
      <c r="I67" s="29">
        <f>PI()*(I65)^2</f>
        <v>288752.26616751333</v>
      </c>
      <c r="J67" s="29">
        <f>PI()*(J65)^2</f>
        <v>164555892.50087085</v>
      </c>
      <c r="K67" s="29" t="s">
        <v>164</v>
      </c>
      <c r="L67" s="29">
        <f>PI()*(L65)^2</f>
        <v>4817116.6188608706</v>
      </c>
      <c r="M67" s="29" t="s">
        <v>164</v>
      </c>
    </row>
    <row r="68" spans="1:13" ht="18">
      <c r="A68" s="24" t="s">
        <v>95</v>
      </c>
      <c r="B68" s="29">
        <f>PI()*(B66)^2</f>
        <v>8323657.6017209282</v>
      </c>
      <c r="C68" s="29" t="s">
        <v>50</v>
      </c>
      <c r="D68" s="29">
        <f>PI()*(D66)^2</f>
        <v>83627514.999806568</v>
      </c>
      <c r="E68" s="29" t="s">
        <v>172</v>
      </c>
      <c r="F68" s="29">
        <f>PI()*(F66)^2</f>
        <v>313721.88424963603</v>
      </c>
      <c r="G68" s="29" t="s">
        <v>50</v>
      </c>
      <c r="H68" s="29">
        <f>PI()*(H66)^2</f>
        <v>3170576.4919046187</v>
      </c>
      <c r="I68" s="29" t="s">
        <v>176</v>
      </c>
      <c r="J68" s="29" t="s">
        <v>164</v>
      </c>
      <c r="K68" s="29">
        <f>PI()*(K66)^2</f>
        <v>165333243.88083383</v>
      </c>
      <c r="L68" s="29" t="s">
        <v>164</v>
      </c>
      <c r="M68" s="29">
        <f>PI()*(M66)^2</f>
        <v>5483688.0711985985</v>
      </c>
    </row>
    <row r="69" spans="1:13" ht="15">
      <c r="B69" s="91"/>
      <c r="E69" s="91"/>
      <c r="F69" s="91"/>
      <c r="I69" s="91"/>
    </row>
    <row r="70" spans="1:13" ht="15">
      <c r="B70" s="91"/>
      <c r="E70" s="91"/>
      <c r="F70" s="91"/>
      <c r="I70" s="91"/>
    </row>
    <row r="72" spans="1:13" ht="15">
      <c r="A72" s="24"/>
    </row>
    <row r="74" spans="1:13" ht="15">
      <c r="B74" s="47"/>
      <c r="E74" s="47"/>
      <c r="F74" s="43"/>
      <c r="I74" s="43"/>
    </row>
    <row r="75" spans="1:13" ht="15">
      <c r="B75" s="44"/>
      <c r="E75" s="44"/>
      <c r="F75" s="45"/>
      <c r="I75" s="45"/>
    </row>
  </sheetData>
  <mergeCells count="5">
    <mergeCell ref="L1:M1"/>
    <mergeCell ref="C1:D1"/>
    <mergeCell ref="G1:H1"/>
    <mergeCell ref="J1:K1"/>
    <mergeCell ref="E1:F1"/>
  </mergeCells>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B1" sqref="B1"/>
    </sheetView>
  </sheetViews>
  <sheetFormatPr defaultColWidth="9" defaultRowHeight="14.25"/>
  <cols>
    <col min="1" max="16384" width="9" style="1"/>
  </cols>
  <sheetData>
    <row r="1" spans="1:16">
      <c r="A1"/>
      <c r="B1" s="2" t="s">
        <v>151</v>
      </c>
      <c r="C1"/>
      <c r="D1"/>
      <c r="E1"/>
      <c r="F1"/>
      <c r="G1"/>
      <c r="H1"/>
      <c r="I1"/>
      <c r="J1"/>
      <c r="K1"/>
      <c r="L1"/>
      <c r="M1"/>
      <c r="N1"/>
      <c r="O1"/>
      <c r="P1"/>
    </row>
    <row r="2" spans="1:16" ht="15" thickBot="1">
      <c r="A2"/>
      <c r="B2" s="3" t="s">
        <v>53</v>
      </c>
      <c r="C2"/>
      <c r="D2"/>
      <c r="E2"/>
      <c r="F2"/>
      <c r="G2"/>
      <c r="H2"/>
      <c r="I2"/>
      <c r="J2"/>
      <c r="K2"/>
      <c r="L2"/>
      <c r="M2"/>
      <c r="N2"/>
      <c r="O2"/>
      <c r="P2"/>
    </row>
    <row r="3" spans="1:16">
      <c r="A3"/>
      <c r="B3" s="148" t="s">
        <v>54</v>
      </c>
      <c r="C3" s="148" t="s">
        <v>55</v>
      </c>
      <c r="D3" s="148" t="s">
        <v>56</v>
      </c>
      <c r="E3" s="148" t="s">
        <v>57</v>
      </c>
      <c r="F3" s="148" t="s">
        <v>58</v>
      </c>
      <c r="G3" s="148" t="s">
        <v>59</v>
      </c>
      <c r="H3" s="148" t="s">
        <v>60</v>
      </c>
      <c r="I3" s="148" t="s">
        <v>61</v>
      </c>
      <c r="J3" s="148" t="s">
        <v>62</v>
      </c>
      <c r="K3" s="148" t="s">
        <v>63</v>
      </c>
      <c r="L3" s="4">
        <v>70</v>
      </c>
      <c r="M3" s="148" t="s">
        <v>64</v>
      </c>
      <c r="N3" s="148" t="s">
        <v>65</v>
      </c>
      <c r="O3" s="148" t="s">
        <v>66</v>
      </c>
      <c r="P3"/>
    </row>
    <row r="4" spans="1:16" ht="15" thickBot="1">
      <c r="A4"/>
      <c r="B4" s="152"/>
      <c r="C4" s="149"/>
      <c r="D4" s="149"/>
      <c r="E4" s="149"/>
      <c r="F4" s="149"/>
      <c r="G4" s="149"/>
      <c r="H4" s="149"/>
      <c r="I4" s="149"/>
      <c r="J4" s="149"/>
      <c r="K4" s="149"/>
      <c r="L4" s="5" t="s">
        <v>67</v>
      </c>
      <c r="M4" s="149"/>
      <c r="N4" s="149"/>
      <c r="O4" s="149"/>
      <c r="P4"/>
    </row>
    <row r="5" spans="1:16" ht="15" thickBot="1">
      <c r="A5"/>
      <c r="B5" s="149"/>
      <c r="C5" s="6" t="s">
        <v>68</v>
      </c>
      <c r="D5" s="6" t="s">
        <v>68</v>
      </c>
      <c r="E5" s="6" t="s">
        <v>68</v>
      </c>
      <c r="F5" s="6" t="s">
        <v>68</v>
      </c>
      <c r="G5" s="6" t="s">
        <v>68</v>
      </c>
      <c r="H5" s="6" t="s">
        <v>68</v>
      </c>
      <c r="I5" s="6" t="s">
        <v>68</v>
      </c>
      <c r="J5" s="6" t="s">
        <v>68</v>
      </c>
      <c r="K5" s="6" t="s">
        <v>68</v>
      </c>
      <c r="L5" s="6" t="s">
        <v>68</v>
      </c>
      <c r="M5" s="6" t="s">
        <v>68</v>
      </c>
      <c r="N5" s="6" t="s">
        <v>68</v>
      </c>
      <c r="O5" s="6" t="s">
        <v>68</v>
      </c>
      <c r="P5"/>
    </row>
    <row r="6" spans="1:16" ht="15" thickBot="1">
      <c r="A6"/>
      <c r="B6" s="7">
        <v>15</v>
      </c>
      <c r="C6" s="8">
        <v>25</v>
      </c>
      <c r="D6" s="8">
        <v>52</v>
      </c>
      <c r="E6" s="8">
        <v>79</v>
      </c>
      <c r="F6" s="8">
        <v>106</v>
      </c>
      <c r="G6" s="8">
        <v>133</v>
      </c>
      <c r="H6" s="8">
        <v>160</v>
      </c>
      <c r="I6" s="8">
        <v>216</v>
      </c>
      <c r="J6" s="8">
        <v>270</v>
      </c>
      <c r="K6" s="8" t="s">
        <v>69</v>
      </c>
      <c r="L6" s="8" t="s">
        <v>70</v>
      </c>
      <c r="M6" s="8" t="s">
        <v>69</v>
      </c>
      <c r="N6" s="8" t="s">
        <v>69</v>
      </c>
      <c r="O6" s="8" t="s">
        <v>69</v>
      </c>
      <c r="P6"/>
    </row>
    <row r="7" spans="1:16" ht="15" thickBot="1">
      <c r="A7"/>
      <c r="B7" s="7">
        <v>30</v>
      </c>
      <c r="C7" s="8">
        <v>11</v>
      </c>
      <c r="D7" s="8">
        <v>24</v>
      </c>
      <c r="E7" s="8">
        <v>38</v>
      </c>
      <c r="F7" s="8">
        <v>51</v>
      </c>
      <c r="G7" s="8">
        <v>65</v>
      </c>
      <c r="H7" s="8">
        <v>78</v>
      </c>
      <c r="I7" s="8">
        <v>106</v>
      </c>
      <c r="J7" s="8">
        <v>133</v>
      </c>
      <c r="K7" s="8">
        <v>162</v>
      </c>
      <c r="L7" s="8">
        <v>189</v>
      </c>
      <c r="M7" s="8">
        <v>217</v>
      </c>
      <c r="N7" s="8">
        <v>245</v>
      </c>
      <c r="O7" s="8">
        <v>273</v>
      </c>
      <c r="P7"/>
    </row>
    <row r="8" spans="1:16" ht="15" thickBot="1">
      <c r="A8"/>
      <c r="B8" s="7">
        <v>60</v>
      </c>
      <c r="C8" s="8" t="s">
        <v>69</v>
      </c>
      <c r="D8" s="8">
        <v>11</v>
      </c>
      <c r="E8" s="8">
        <v>18</v>
      </c>
      <c r="F8" s="8">
        <v>24</v>
      </c>
      <c r="G8" s="8">
        <v>31</v>
      </c>
      <c r="H8" s="8">
        <v>38</v>
      </c>
      <c r="I8" s="8">
        <v>51</v>
      </c>
      <c r="J8" s="8">
        <v>65</v>
      </c>
      <c r="K8" s="8">
        <v>79</v>
      </c>
      <c r="L8" s="8">
        <v>93</v>
      </c>
      <c r="M8" s="8">
        <v>107</v>
      </c>
      <c r="N8" s="8">
        <v>121</v>
      </c>
      <c r="O8" s="8">
        <v>135</v>
      </c>
      <c r="P8"/>
    </row>
    <row r="9" spans="1:16">
      <c r="A9"/>
      <c r="B9"/>
      <c r="C9"/>
      <c r="D9"/>
      <c r="E9"/>
      <c r="F9"/>
      <c r="G9"/>
      <c r="H9"/>
      <c r="I9"/>
      <c r="J9"/>
      <c r="K9"/>
      <c r="L9"/>
      <c r="M9"/>
      <c r="N9"/>
      <c r="O9"/>
      <c r="P9"/>
    </row>
    <row r="10" spans="1:16" ht="15" thickBot="1">
      <c r="A10"/>
      <c r="B10" s="3" t="s">
        <v>71</v>
      </c>
      <c r="C10"/>
      <c r="D10"/>
      <c r="E10"/>
      <c r="F10"/>
      <c r="G10"/>
      <c r="H10"/>
      <c r="I10"/>
      <c r="J10"/>
      <c r="K10"/>
      <c r="L10"/>
      <c r="M10"/>
      <c r="N10"/>
      <c r="O10"/>
      <c r="P10"/>
    </row>
    <row r="11" spans="1:16" ht="15" thickBot="1">
      <c r="A11"/>
      <c r="B11" s="150" t="s">
        <v>72</v>
      </c>
      <c r="C11" s="9" t="s">
        <v>73</v>
      </c>
      <c r="D11" s="9" t="s">
        <v>74</v>
      </c>
      <c r="E11" s="9" t="s">
        <v>75</v>
      </c>
      <c r="F11" s="9" t="s">
        <v>76</v>
      </c>
      <c r="G11"/>
      <c r="H11"/>
      <c r="I11"/>
      <c r="J11"/>
      <c r="K11"/>
      <c r="L11"/>
      <c r="M11"/>
      <c r="N11"/>
      <c r="O11"/>
      <c r="P11"/>
    </row>
    <row r="12" spans="1:16" ht="15" thickBot="1">
      <c r="A12"/>
      <c r="B12" s="151"/>
      <c r="C12" s="10" t="s">
        <v>68</v>
      </c>
      <c r="D12" s="10" t="s">
        <v>68</v>
      </c>
      <c r="E12" s="10" t="s">
        <v>68</v>
      </c>
      <c r="F12" s="10" t="s">
        <v>68</v>
      </c>
      <c r="G12"/>
      <c r="H12"/>
      <c r="I12"/>
      <c r="J12"/>
      <c r="K12"/>
      <c r="L12"/>
      <c r="M12"/>
      <c r="N12"/>
      <c r="O12"/>
      <c r="P12"/>
    </row>
    <row r="13" spans="1:16" ht="15" thickBot="1">
      <c r="A13"/>
      <c r="B13" s="11">
        <v>60</v>
      </c>
      <c r="C13" s="12">
        <v>66</v>
      </c>
      <c r="D13" s="12">
        <v>132</v>
      </c>
      <c r="E13" s="12">
        <v>264</v>
      </c>
      <c r="F13" s="12" t="s">
        <v>70</v>
      </c>
      <c r="G13"/>
      <c r="H13"/>
      <c r="I13"/>
      <c r="J13"/>
      <c r="K13"/>
      <c r="L13"/>
      <c r="M13"/>
      <c r="N13"/>
      <c r="O13"/>
      <c r="P13"/>
    </row>
    <row r="14" spans="1:16" ht="15" thickBot="1">
      <c r="A14"/>
      <c r="B14" s="11">
        <v>120</v>
      </c>
      <c r="C14" s="12">
        <v>32</v>
      </c>
      <c r="D14" s="12">
        <v>66</v>
      </c>
      <c r="E14" s="12">
        <v>132</v>
      </c>
      <c r="F14" s="12">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General note</vt:lpstr>
      <vt:lpstr>InH-eMBB (4GHz, DSUUD)</vt:lpstr>
      <vt:lpstr>DU-eMBB (4GHz, DSUUD)</vt:lpstr>
      <vt:lpstr>Rural-eMBB (700MHz, FDD)</vt:lpstr>
      <vt:lpstr>Rural-LMLC(700 MHz, DSUUD) </vt:lpstr>
      <vt:lpstr>Rural-eMBB (700 MHz, DSUUD)</vt:lpstr>
      <vt:lpstr>Rural-eMBB (4GHz, DSUUD)</vt:lpstr>
      <vt:lpstr>Uma-mMTC (IOT)</vt:lpstr>
      <vt:lpstr>UMa-URLLC (700MHz )</vt:lpstr>
      <vt:lpstr>MaxN_RB</vt:lpstr>
    </vt:vector>
  </TitlesOfParts>
  <Manager/>
  <Company>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TSDSI RIT Channel Model A</dc:title>
  <dc:subject/>
  <dc:creator>TSDSI</dc:creator>
  <cp:keywords/>
  <dc:description/>
  <cp:lastModifiedBy>Limousin Catherine</cp:lastModifiedBy>
  <cp:lastPrinted>2006-01-19T03:50:08Z</cp:lastPrinted>
  <dcterms:created xsi:type="dcterms:W3CDTF">2003-11-11T03:59:45Z</dcterms:created>
  <dcterms:modified xsi:type="dcterms:W3CDTF">2019-12-12T10:44:24Z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(3)SrEJJzVwl2H4GVpJP9yF2wfGsTz8FpTwC39soTqQ0mj0b9foWp0qcyxkRyC2MA/dnXxcDF1k
wYCv14PLSlD0aVzqgmY/ER4LkSY4ILKr6z4I8QWMKPcuov9S3r9eL8PG5vqi8IHpP9pOpFS8
2Til91iLpZPosYbjQDH8cbQBjWiPBxQi0iBhFP89J78+bt/5IQmFzqNZ5eosHf62j6rZF4ga
AysEzVnPpQ+cy+5IP1</vt:lpwstr>
  </property>
  <property fmtid="{D5CDD505-2E9C-101B-9397-08002B2CF9AE}" pid="7" name="_2015_ms_pID_7253431">
    <vt:lpwstr>6ebC/WEpQXTqYQFqC5nwMlXU/kiGM7X08bB6w0ig1cADwoubRZqtvu
ufGwgqS0XyU0fj1P7IF7SfFTEbBDv8eTB0NwwrtoMyj1pv2XYvOn/N0HEb/fTDWmHBhs8E85
2/Sx4hHY+M4C8z3I8b1KZLqTfZPrMcWKSTdD3xdNq2P8xiRAr28e1YrDDcxUhykIfZShcmS4
Sv5B7VJkyTRzKHWsKjQ2c6wspeSDwbCRo7k0</vt:lpwstr>
  </property>
  <property fmtid="{D5CDD505-2E9C-101B-9397-08002B2CF9AE}" pid="8" name="_2015_ms_pID_7253432">
    <vt:lpwstr>4AtXH6hS0HGPDgMVTPKYmyc=</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1558400932</vt:lpwstr>
  </property>
</Properties>
</file>